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120" windowWidth="19320" windowHeight="11640" activeTab="1"/>
  </bookViews>
  <sheets>
    <sheet name="Лист8" sheetId="18" r:id="rId1"/>
    <sheet name="fdp+pcpfdp+fp+pdtafap" sheetId="10" r:id="rId2"/>
    <sheet name="113,03" sheetId="11" r:id="rId3"/>
    <sheet name="113,11" sheetId="12" r:id="rId4"/>
    <sheet name="113,13" sheetId="13" r:id="rId5"/>
    <sheet name="113,17" sheetId="14" r:id="rId6"/>
    <sheet name="113,18" sheetId="15" r:id="rId7"/>
    <sheet name="113,19" sheetId="16" r:id="rId8"/>
    <sheet name="113,45" sheetId="17" r:id="rId9"/>
    <sheet name="Sheet1" sheetId="19" state="hidden" r:id="rId10"/>
  </sheets>
  <externalReferences>
    <externalReference r:id="rId11"/>
  </externalReferences>
  <definedNames>
    <definedName name="_xlnm.Print_Area" localSheetId="1">'fdp+pcpfdp+fp+pdtafap'!$A$1:$AE$77</definedName>
    <definedName name="_xlnm.Print_Titles" localSheetId="1">'fdp+pcpfdp+fp+pdtafap'!$11:$13</definedName>
  </definedNames>
  <calcPr calcId="124519"/>
</workbook>
</file>

<file path=xl/calcChain.xml><?xml version="1.0" encoding="utf-8"?>
<calcChain xmlns="http://schemas.openxmlformats.org/spreadsheetml/2006/main">
  <c r="C3" i="14"/>
  <c r="D14" i="18"/>
  <c r="D13"/>
  <c r="D12"/>
  <c r="D11"/>
  <c r="D10"/>
  <c r="E10" s="1"/>
  <c r="D9"/>
  <c r="E9" s="1"/>
  <c r="D8"/>
  <c r="E11"/>
  <c r="E12"/>
  <c r="E13"/>
  <c r="E14"/>
  <c r="E16"/>
  <c r="E19"/>
  <c r="E20"/>
  <c r="E21"/>
  <c r="E22"/>
  <c r="E23"/>
  <c r="B2" i="13"/>
  <c r="B9"/>
  <c r="D6" i="18"/>
  <c r="E6" s="1"/>
  <c r="D5"/>
  <c r="E5" s="1"/>
  <c r="D4"/>
  <c r="D15" s="1"/>
  <c r="E15" s="1"/>
  <c r="C24"/>
  <c r="D23"/>
  <c r="D22"/>
  <c r="D21"/>
  <c r="D20"/>
  <c r="D16"/>
  <c r="AB55" i="10"/>
  <c r="AC55"/>
  <c r="AD55"/>
  <c r="AE55"/>
  <c r="AA55"/>
  <c r="AA43"/>
  <c r="C2" i="17"/>
  <c r="C5" s="1"/>
  <c r="D18" i="18" s="1"/>
  <c r="E18" s="1"/>
  <c r="B2" i="17"/>
  <c r="D6" i="16"/>
  <c r="D5"/>
  <c r="F4"/>
  <c r="D4"/>
  <c r="F2"/>
  <c r="D2"/>
  <c r="B9"/>
  <c r="B4"/>
  <c r="C6" i="15"/>
  <c r="E5"/>
  <c r="E4"/>
  <c r="D3"/>
  <c r="E3" s="1"/>
  <c r="D2"/>
  <c r="D6" s="1"/>
  <c r="F3" i="14"/>
  <c r="C5" i="12"/>
  <c r="B5"/>
  <c r="D4"/>
  <c r="D3"/>
  <c r="D17" i="11"/>
  <c r="D11"/>
  <c r="C13"/>
  <c r="D13" s="1"/>
  <c r="D8"/>
  <c r="D7"/>
  <c r="D6"/>
  <c r="D3"/>
  <c r="F41" i="10"/>
  <c r="E41"/>
  <c r="V41" s="1"/>
  <c r="Y41" s="1"/>
  <c r="F34"/>
  <c r="E34"/>
  <c r="F28"/>
  <c r="E28"/>
  <c r="T25"/>
  <c r="F25"/>
  <c r="E25"/>
  <c r="T34"/>
  <c r="B19"/>
  <c r="B43"/>
  <c r="V40"/>
  <c r="Y40" s="1"/>
  <c r="T40"/>
  <c r="T41"/>
  <c r="V42"/>
  <c r="Y42" s="1"/>
  <c r="T42"/>
  <c r="V39"/>
  <c r="Y39" s="1"/>
  <c r="T39"/>
  <c r="V34"/>
  <c r="Y34" s="1"/>
  <c r="V33"/>
  <c r="Y33" s="1"/>
  <c r="T33"/>
  <c r="V37"/>
  <c r="Y37" s="1"/>
  <c r="T37"/>
  <c r="V36"/>
  <c r="Y36" s="1"/>
  <c r="T36"/>
  <c r="V38"/>
  <c r="Y38" s="1"/>
  <c r="T38"/>
  <c r="V35"/>
  <c r="Y35" s="1"/>
  <c r="T35"/>
  <c r="U54"/>
  <c r="Z54" s="1"/>
  <c r="P54"/>
  <c r="O54"/>
  <c r="N54"/>
  <c r="U53"/>
  <c r="Z53" s="1"/>
  <c r="P53"/>
  <c r="O53"/>
  <c r="N53"/>
  <c r="V32"/>
  <c r="Y32" s="1"/>
  <c r="T32"/>
  <c r="V31"/>
  <c r="Y31" s="1"/>
  <c r="T31"/>
  <c r="V22"/>
  <c r="Y22" s="1"/>
  <c r="V24"/>
  <c r="Y24" s="1"/>
  <c r="V25"/>
  <c r="Y25" s="1"/>
  <c r="V27"/>
  <c r="Y27" s="1"/>
  <c r="V28"/>
  <c r="Y28" s="1"/>
  <c r="V29"/>
  <c r="V30"/>
  <c r="Y30" s="1"/>
  <c r="V21"/>
  <c r="T22"/>
  <c r="U52"/>
  <c r="Z52" s="1"/>
  <c r="P52"/>
  <c r="O52"/>
  <c r="N52"/>
  <c r="U51"/>
  <c r="Z51" s="1"/>
  <c r="P51"/>
  <c r="O51"/>
  <c r="N51"/>
  <c r="U50"/>
  <c r="Z50" s="1"/>
  <c r="P50"/>
  <c r="O50"/>
  <c r="N50"/>
  <c r="U49"/>
  <c r="Z49" s="1"/>
  <c r="P49"/>
  <c r="O49"/>
  <c r="N49"/>
  <c r="U48"/>
  <c r="Z48" s="1"/>
  <c r="P48"/>
  <c r="O48"/>
  <c r="N48"/>
  <c r="U47"/>
  <c r="Z47" s="1"/>
  <c r="P47"/>
  <c r="O47"/>
  <c r="N47"/>
  <c r="U46"/>
  <c r="Z46" s="1"/>
  <c r="P46"/>
  <c r="O46"/>
  <c r="N46"/>
  <c r="U45"/>
  <c r="Z45" s="1"/>
  <c r="P45"/>
  <c r="O45"/>
  <c r="N45"/>
  <c r="U44"/>
  <c r="P44"/>
  <c r="O44"/>
  <c r="N44"/>
  <c r="AB43"/>
  <c r="S43"/>
  <c r="R43"/>
  <c r="Q43"/>
  <c r="O43"/>
  <c r="E43"/>
  <c r="T30"/>
  <c r="Y29"/>
  <c r="T29"/>
  <c r="T28"/>
  <c r="T27"/>
  <c r="T24"/>
  <c r="T21"/>
  <c r="AB19"/>
  <c r="S19"/>
  <c r="R19"/>
  <c r="F19"/>
  <c r="E19"/>
  <c r="X18"/>
  <c r="L18"/>
  <c r="J18"/>
  <c r="AB17"/>
  <c r="S17"/>
  <c r="R17"/>
  <c r="E17"/>
  <c r="B17"/>
  <c r="L16"/>
  <c r="J16"/>
  <c r="H16"/>
  <c r="L15"/>
  <c r="J15"/>
  <c r="H15"/>
  <c r="AB14"/>
  <c r="S14"/>
  <c r="R14"/>
  <c r="F14"/>
  <c r="E14"/>
  <c r="B14"/>
  <c r="E4" i="18" l="1"/>
  <c r="D7"/>
  <c r="E7" s="1"/>
  <c r="E24" s="1"/>
  <c r="E8"/>
  <c r="D24"/>
  <c r="F5" i="16"/>
  <c r="E2" i="15"/>
  <c r="E6" s="1"/>
  <c r="D5" i="12"/>
  <c r="C14" i="11"/>
  <c r="T54" i="10"/>
  <c r="W40"/>
  <c r="AA40" s="1"/>
  <c r="W41"/>
  <c r="AA41" s="1"/>
  <c r="W42"/>
  <c r="AA42" s="1"/>
  <c r="W29"/>
  <c r="AA29" s="1"/>
  <c r="W39"/>
  <c r="AA39" s="1"/>
  <c r="W33"/>
  <c r="AA33" s="1"/>
  <c r="W34"/>
  <c r="AA34" s="1"/>
  <c r="T53"/>
  <c r="W36"/>
  <c r="AA36" s="1"/>
  <c r="W37"/>
  <c r="AA37" s="1"/>
  <c r="V19"/>
  <c r="W35"/>
  <c r="AA35" s="1"/>
  <c r="W38"/>
  <c r="AA38" s="1"/>
  <c r="W53"/>
  <c r="AA53" s="1"/>
  <c r="W54"/>
  <c r="AA54" s="1"/>
  <c r="P43"/>
  <c r="U43"/>
  <c r="W31"/>
  <c r="AA31" s="1"/>
  <c r="W32"/>
  <c r="AA32" s="1"/>
  <c r="W27"/>
  <c r="AA27" s="1"/>
  <c r="W24"/>
  <c r="AA24" s="1"/>
  <c r="J14"/>
  <c r="W21"/>
  <c r="W30"/>
  <c r="AA30" s="1"/>
  <c r="W28"/>
  <c r="AA28" s="1"/>
  <c r="W25"/>
  <c r="AA25" s="1"/>
  <c r="W22"/>
  <c r="AA22" s="1"/>
  <c r="T15"/>
  <c r="X17"/>
  <c r="L14"/>
  <c r="J17"/>
  <c r="T16"/>
  <c r="L17"/>
  <c r="N43"/>
  <c r="T44"/>
  <c r="T45"/>
  <c r="T46"/>
  <c r="T47"/>
  <c r="T48"/>
  <c r="T49"/>
  <c r="T50"/>
  <c r="T51"/>
  <c r="T52"/>
  <c r="T18"/>
  <c r="AA18" s="1"/>
  <c r="Y21"/>
  <c r="Y19" s="1"/>
  <c r="Z44"/>
  <c r="Z43" s="1"/>
  <c r="H14"/>
  <c r="T19"/>
  <c r="F6" i="16" l="1"/>
  <c r="D7"/>
  <c r="D8" s="1"/>
  <c r="D14" i="11"/>
  <c r="C15"/>
  <c r="AD40" i="10"/>
  <c r="AC40"/>
  <c r="AE40" s="1"/>
  <c r="AD41"/>
  <c r="AE41"/>
  <c r="AC41"/>
  <c r="AD42"/>
  <c r="AC42"/>
  <c r="AD39"/>
  <c r="AC39"/>
  <c r="AD34"/>
  <c r="AC34"/>
  <c r="AD33"/>
  <c r="AC33"/>
  <c r="AD37"/>
  <c r="AC37"/>
  <c r="AD36"/>
  <c r="AC36"/>
  <c r="AD35"/>
  <c r="AC35"/>
  <c r="AD38"/>
  <c r="AC38"/>
  <c r="AC54"/>
  <c r="AD54"/>
  <c r="AD53"/>
  <c r="AC53"/>
  <c r="AC31"/>
  <c r="AD31"/>
  <c r="AD32"/>
  <c r="AC32"/>
  <c r="AA21"/>
  <c r="W52"/>
  <c r="AA52" s="1"/>
  <c r="W50"/>
  <c r="AA50" s="1"/>
  <c r="W48"/>
  <c r="AA48" s="1"/>
  <c r="W46"/>
  <c r="AA46" s="1"/>
  <c r="W44"/>
  <c r="AA44" s="1"/>
  <c r="W51"/>
  <c r="AA51" s="1"/>
  <c r="W49"/>
  <c r="AA49" s="1"/>
  <c r="AD49" s="1"/>
  <c r="W47"/>
  <c r="AA47" s="1"/>
  <c r="AD47" s="1"/>
  <c r="W45"/>
  <c r="AA45" s="1"/>
  <c r="AD45" s="1"/>
  <c r="W16"/>
  <c r="AA16" s="1"/>
  <c r="W15"/>
  <c r="AA15" s="1"/>
  <c r="T14"/>
  <c r="AD29"/>
  <c r="AC29"/>
  <c r="AD27"/>
  <c r="AC27"/>
  <c r="AD24"/>
  <c r="AC24"/>
  <c r="AD30"/>
  <c r="AC30"/>
  <c r="AD28"/>
  <c r="AC28"/>
  <c r="AD25"/>
  <c r="AC25"/>
  <c r="AD22"/>
  <c r="AC22"/>
  <c r="T17"/>
  <c r="W19"/>
  <c r="AD18"/>
  <c r="AC18"/>
  <c r="T43"/>
  <c r="F7" i="16" l="1"/>
  <c r="D15" i="11"/>
  <c r="C16"/>
  <c r="D16" s="1"/>
  <c r="AE37" i="10"/>
  <c r="AE33"/>
  <c r="AE34"/>
  <c r="AE39"/>
  <c r="AE42"/>
  <c r="AE32"/>
  <c r="AE53"/>
  <c r="AE38"/>
  <c r="AE35"/>
  <c r="AE31"/>
  <c r="AE54"/>
  <c r="AE36"/>
  <c r="AD46"/>
  <c r="AC46"/>
  <c r="AD50"/>
  <c r="AC50"/>
  <c r="AD48"/>
  <c r="AC48"/>
  <c r="AD52"/>
  <c r="AC52"/>
  <c r="AD51"/>
  <c r="AC51"/>
  <c r="W43"/>
  <c r="AC47"/>
  <c r="AE47" s="1"/>
  <c r="AC45"/>
  <c r="AC49"/>
  <c r="AE49" s="1"/>
  <c r="AA14"/>
  <c r="AE25"/>
  <c r="AE30"/>
  <c r="AE29"/>
  <c r="AE22"/>
  <c r="AE18"/>
  <c r="AE45"/>
  <c r="AE24"/>
  <c r="AE28"/>
  <c r="AE27"/>
  <c r="AC16"/>
  <c r="AD16"/>
  <c r="AC15"/>
  <c r="AD15"/>
  <c r="AD44"/>
  <c r="AD43" s="1"/>
  <c r="AC44"/>
  <c r="AA17"/>
  <c r="AC17"/>
  <c r="W14"/>
  <c r="AD21"/>
  <c r="AD19" s="1"/>
  <c r="AC21"/>
  <c r="AC19" s="1"/>
  <c r="AA19"/>
  <c r="F8" i="16" l="1"/>
  <c r="D9"/>
  <c r="F9"/>
  <c r="AE51" i="10"/>
  <c r="AE52"/>
  <c r="AE48"/>
  <c r="AE50"/>
  <c r="AE46"/>
  <c r="AC43"/>
  <c r="AE15"/>
  <c r="AE16"/>
  <c r="AE21"/>
  <c r="AE19" s="1"/>
  <c r="AD17"/>
  <c r="AE44"/>
  <c r="AD14"/>
  <c r="AC14"/>
  <c r="AE43" l="1"/>
  <c r="AE17"/>
  <c r="AE14"/>
</calcChain>
</file>

<file path=xl/sharedStrings.xml><?xml version="1.0" encoding="utf-8"?>
<sst xmlns="http://schemas.openxmlformats.org/spreadsheetml/2006/main" count="730" uniqueCount="189">
  <si>
    <t>x</t>
  </si>
  <si>
    <t>c) funcționari publici (fp)</t>
  </si>
  <si>
    <t>d) personal de deservire tehnică ce asigură funcționarea autorității publice (pdtafap)</t>
  </si>
  <si>
    <t>impactul sporului pt performanța colectivă asupra indemnizației de concediu</t>
  </si>
  <si>
    <t>impactul premiului anual asupra indemnizației de concediu</t>
  </si>
  <si>
    <t>%</t>
  </si>
  <si>
    <t>coef.</t>
  </si>
  <si>
    <t>Executorul primar de buget</t>
  </si>
  <si>
    <t>Grupa principală</t>
  </si>
  <si>
    <t>Grupa funcţiei</t>
  </si>
  <si>
    <t>Tipul instituţei</t>
  </si>
  <si>
    <t>……………….</t>
  </si>
  <si>
    <t>Nr. unități</t>
  </si>
  <si>
    <t>b) personalul din cabinetul persoanelor cu funcții de demnitate publică (pcpfdp)</t>
  </si>
  <si>
    <t>Σ</t>
  </si>
  <si>
    <t>lei</t>
  </si>
  <si>
    <t>spor pt secret (art.6 (3) din Legea nr.355 / 23.12.2005; pct.1, 2 din HG nr.863 / 01.08.06)</t>
  </si>
  <si>
    <t>ajutor material (pcpfdp-art.8' (3) din Legea nr.355 / 23.12.05)</t>
  </si>
  <si>
    <t>a) funcții de demnitate publică (fdp), cu excepția judecătorilor</t>
  </si>
  <si>
    <t>8(5*7)</t>
  </si>
  <si>
    <t xml:space="preserve">** se completează doar pentru funcțiile de demnitate publică din Centrul Național Anticorupție </t>
  </si>
  <si>
    <t xml:space="preserve">*** se completează doar pentru funcțiile de demnitate publică și pentru funcțiile persoanelor din cabinetul persoanelor cu funcții de demnitate publică din Centrul Național Anticorupție </t>
  </si>
  <si>
    <t>grad de salarizare</t>
  </si>
  <si>
    <t>treapta de saarizare</t>
  </si>
  <si>
    <t>spor pu desfășurarea activității  în localit. din partea stîngă a Nistrului, în sat. Varnița al r-lui Anenii Noi, sat. Copanca și Hagimus ale r-lui Căușeni (pînă la 30%, pct.3 din HG nr.710 / 26.09.12)</t>
  </si>
  <si>
    <t>Salariu de bază (lunar, de funcție) stabilit cnf schemei de încadrare*</t>
  </si>
  <si>
    <t>premie lunară 20% (pct.5 din HG nr.710 din 26.09.12)</t>
  </si>
  <si>
    <t>spor pt testarea și întreținerea aplicațiilor programice 20% (pct.2 din Note la HG nr.710 din 26.09.12)</t>
  </si>
  <si>
    <t>16=5*20%</t>
  </si>
  <si>
    <t>**** sub tabel se specifică sporurile și suplimentele incluse în această coloană pentru fiecare titlu de funcție/ persoană în parte</t>
  </si>
  <si>
    <t>premiu anual (pct.6 din HG nr.710)</t>
  </si>
  <si>
    <t>*  - salariul lunar pentru funcțiile de demnitate publică care își desfășoară activitatea în localitățile din partea stîngă a Nistrului, în satul Varnița al raionului Anenii Noi și în satele Copanca și Hagimus ale raionului Căușeni se reflectă cu majorarea de pînă la 20 % cnf notei la anexa nr.2 la Legea nr.355 / 23.12.05</t>
  </si>
  <si>
    <t xml:space="preserve">     - salariile de funcție ale personalului de deservire tehnică se reflectă aplicarea majorărilor indicate în pct.1 și pct.3 din Note la tabelul din anexa nr.1 la HG nr.710 /26.09.12. </t>
  </si>
  <si>
    <t>După caz, diferența de salariu (art.38 din Legea nr.355 / 23.12.05, art.19 din Legea nr.48 / 22.03.12</t>
  </si>
  <si>
    <t xml:space="preserve">    - salariile de funcție pentru funcționarii publici se reflectă luînd în considerare prevederile art.6 (4) din Legea nr.48 / 22.03.12 și respectiv pct.2 alin.2, pct.3, pct.4 - pct.6 din HG nr.331 / 28.05.12</t>
  </si>
  <si>
    <t>spor sau supliment ce ţine de specificul de activitate (pct.4 din HG nr.710 / 26.09.12) ****</t>
  </si>
  <si>
    <t>ajutor material (fdp-art.8 (1) din Legea nr.355 / 23.12.05; fp-pct.8 4) din HG nr.331 / 28.05.12; pdtafap -art.12 din Legea nr.355 /23.12.05, pct.5 din HG nr.710 /26.09.12)</t>
  </si>
  <si>
    <t>componenta bugetară</t>
  </si>
  <si>
    <t>Alte plăți</t>
  </si>
  <si>
    <t>spor pt performanța colectivă (pct.8 1) din HG nr.331 / 28.05.12 - 15%)</t>
  </si>
  <si>
    <r>
      <t>spor pt grad de calificare, grad militar (special), rang diplomatic (art.6 (2), (2</t>
    </r>
    <r>
      <rPr>
        <vertAlign val="superscript"/>
        <sz val="10"/>
        <rFont val="Cambria"/>
        <family val="1"/>
        <charset val="204"/>
        <scheme val="major"/>
      </rPr>
      <t>1</t>
    </r>
    <r>
      <rPr>
        <sz val="10"/>
        <rFont val="Cambria"/>
        <family val="1"/>
        <charset val="204"/>
        <scheme val="major"/>
      </rPr>
      <t>) , pct.2 din Note la anexa nr.3 din Legea nr.355/ 23.12.05; pct.7 din HG nr.331 / 28.05.12)</t>
    </r>
  </si>
  <si>
    <r>
      <t>spor pt categoria de calificare** (art.6 (2</t>
    </r>
    <r>
      <rPr>
        <vertAlign val="superscript"/>
        <sz val="10"/>
        <rFont val="Cambria"/>
        <family val="1"/>
        <charset val="204"/>
        <scheme val="major"/>
      </rPr>
      <t>1</t>
    </r>
    <r>
      <rPr>
        <sz val="10"/>
        <rFont val="Cambria"/>
        <family val="1"/>
        <charset val="204"/>
        <scheme val="major"/>
      </rPr>
      <t>) din Legea nr.355 /23.12.05)</t>
    </r>
  </si>
  <si>
    <r>
      <t>spor pt eficiență în prevenirea și combaterea corupției***  (art.6 (21</t>
    </r>
    <r>
      <rPr>
        <vertAlign val="superscript"/>
        <sz val="10"/>
        <rFont val="Cambria"/>
        <family val="1"/>
        <charset val="204"/>
        <scheme val="major"/>
      </rPr>
      <t>1</t>
    </r>
    <r>
      <rPr>
        <sz val="10"/>
        <rFont val="Cambria"/>
        <family val="1"/>
        <charset val="204"/>
        <scheme val="major"/>
      </rPr>
      <t>), art.8</t>
    </r>
    <r>
      <rPr>
        <vertAlign val="superscript"/>
        <sz val="10"/>
        <rFont val="Cambria"/>
        <family val="1"/>
        <charset val="204"/>
        <scheme val="major"/>
      </rPr>
      <t xml:space="preserve">1 </t>
    </r>
    <r>
      <rPr>
        <sz val="10"/>
        <rFont val="Cambria"/>
        <family val="1"/>
        <charset val="204"/>
        <scheme val="major"/>
      </rPr>
      <t>(4) din Legea nr.355 /23.12.05)</t>
    </r>
  </si>
  <si>
    <t>Fondul anual de retribuire a muncii (art.111)</t>
  </si>
  <si>
    <t>Salariu lunar</t>
  </si>
  <si>
    <t>Denumirea subdiviziunii / titlul funcției</t>
  </si>
  <si>
    <t>coduri</t>
  </si>
  <si>
    <t>Instituția</t>
  </si>
  <si>
    <t>10(5*9)</t>
  </si>
  <si>
    <r>
      <t>12(11*</t>
    </r>
    <r>
      <rPr>
        <i/>
        <u/>
        <sz val="8"/>
        <color rgb="FFFF0000"/>
        <rFont val="Cambria"/>
        <family val="1"/>
        <charset val="204"/>
        <scheme val="major"/>
      </rPr>
      <t>4200</t>
    </r>
    <r>
      <rPr>
        <i/>
        <sz val="8"/>
        <rFont val="Cambria"/>
        <family val="1"/>
        <charset val="204"/>
        <scheme val="major"/>
      </rPr>
      <t>)</t>
    </r>
  </si>
  <si>
    <t>14(5*13)</t>
  </si>
  <si>
    <t>15=5*20%</t>
  </si>
  <si>
    <t>20(5+6+8+10+12+14+15+16+17+18+19)</t>
  </si>
  <si>
    <t>21(5)</t>
  </si>
  <si>
    <t>22(5*12 luni*10%)</t>
  </si>
  <si>
    <t>23(20+21/12 luni+22 / 12luni)</t>
  </si>
  <si>
    <t>24(5)</t>
  </si>
  <si>
    <t>25(22/12 luni)</t>
  </si>
  <si>
    <t>26(21/12 luni)</t>
  </si>
  <si>
    <t>27(20*12 luni+21+22+23+ 24+25+26)</t>
  </si>
  <si>
    <t>29((27-28)*23%)</t>
  </si>
  <si>
    <t>30((27-23-24)*4%)</t>
  </si>
  <si>
    <t>31(27+29+30)</t>
  </si>
  <si>
    <t>persoană de contact privind completarea tabelului: Borș Irina, tel.: 26-27-49</t>
  </si>
  <si>
    <r>
      <t xml:space="preserve">Calculul fondului anual de salarizare pentru </t>
    </r>
    <r>
      <rPr>
        <b/>
        <i/>
        <u/>
        <sz val="14"/>
        <rFont val="Cambria"/>
        <family val="1"/>
        <charset val="204"/>
        <scheme val="major"/>
      </rPr>
      <t>fdp, pcpfdp, fp, pdtafap</t>
    </r>
    <r>
      <rPr>
        <b/>
        <sz val="14"/>
        <rFont val="Cambria"/>
        <family val="1"/>
        <charset val="204"/>
        <scheme val="major"/>
      </rPr>
      <t/>
    </r>
  </si>
  <si>
    <t>Conducătorul subdiviziunii economico-financiare/ contabile</t>
  </si>
  <si>
    <t>Executor</t>
  </si>
  <si>
    <t>_________________________________________________________________________________________</t>
  </si>
  <si>
    <t>___________________________________________________________</t>
  </si>
  <si>
    <t>(nume, prenume)</t>
  </si>
  <si>
    <t>(semnătura)</t>
  </si>
  <si>
    <t>(telefon de contact)</t>
  </si>
  <si>
    <t xml:space="preserve">1. Tabelul este elaborat în condițiile 2014-2015  prevăzute de legislație. Totodată, va fi util pentru calculul fondului de salarizare pentru următorii ani, fiind adaptat la modificările și completările cadrului normativ-legal ce reglementează  condițiile de salarizare. </t>
  </si>
  <si>
    <t>2. Se completează, indicînd subdiviziunea și titlurile de funcții din subdiviziune, grupate conform categoriilor de personal nominalizate în tabel.</t>
  </si>
  <si>
    <t>(Tabelul este elaborat în baza Legii nr.355-XVI din 23.12.2005 cu privire la sistemul de salarizare în sectorul bugetar (pentru funcțiile de demnitate publică și personalului din cabinetul persoanelor cu funcții de demnitate publică),  Legea nr.48 din 22.03.2012 privind sistemul de salarizare a funcționarilor publici (pentru funcționarii publici),  Hotărîrea Guvernului nr.331 din 28.05.12 privind salarizarea funcționarilor publici, Hotărîrea Guvernului nr.710  din 26.09.2012 privind salarizarea personalului care efectuează deservirea tehnică și asigură funcționarea instanțelor judecătorești, a procuraturii și a autorităților adminsitrației publice centrale și locale (pentru personalul de deservire tehnică ce asigură funcționarea autorității publice))</t>
  </si>
  <si>
    <t>ajutor material din care nu se calculează contribuția de asigurări sociale (&lt; salariul mediu lunar pe economie prognozat și aprobat de Guvern- pct.2 din anexa nr.5 la Legea nr.329 / 23.12.13)</t>
  </si>
  <si>
    <t>Art.112 (23%, anual)</t>
  </si>
  <si>
    <t>Art.116 (4%, anual)</t>
  </si>
  <si>
    <t>Cheltuieli de personal total anual  (art. 111 +112+116)</t>
  </si>
  <si>
    <t>Director</t>
  </si>
  <si>
    <t>Director adjunct</t>
  </si>
  <si>
    <t>Direcția economiei și finanțe</t>
  </si>
  <si>
    <r>
      <t>Se</t>
    </r>
    <r>
      <rPr>
        <b/>
        <i/>
        <sz val="12"/>
        <color rgb="FF000000"/>
        <rFont val="Times New Roman"/>
        <family val="1"/>
        <charset val="204"/>
      </rPr>
      <t>rviciu planificare și finanțare</t>
    </r>
  </si>
  <si>
    <t>șef serviciu</t>
  </si>
  <si>
    <t>șef direcției</t>
  </si>
  <si>
    <t xml:space="preserve">șef adjunct </t>
  </si>
  <si>
    <t>specialist principal</t>
  </si>
  <si>
    <r>
      <t>Se</t>
    </r>
    <r>
      <rPr>
        <b/>
        <i/>
        <sz val="12"/>
        <color rgb="FF000000"/>
        <rFont val="Times New Roman"/>
        <family val="1"/>
        <charset val="204"/>
      </rPr>
      <t>rviciu evidență contabilă</t>
    </r>
  </si>
  <si>
    <t>Serviciu achiziții publice și logistică</t>
  </si>
  <si>
    <t xml:space="preserve">Serviciu investiții capitale </t>
  </si>
  <si>
    <t xml:space="preserve">Serviciu tehnologii informaționale </t>
  </si>
  <si>
    <t xml:space="preserve">Serviciul audit intern </t>
  </si>
  <si>
    <t xml:space="preserve">auditor intern </t>
  </si>
  <si>
    <t xml:space="preserve">Secția generalizare și analiză a statisticii judiciare </t>
  </si>
  <si>
    <t xml:space="preserve">șef secție </t>
  </si>
  <si>
    <t xml:space="preserve">specialist principal </t>
  </si>
  <si>
    <t xml:space="preserve">specialist superior </t>
  </si>
  <si>
    <t xml:space="preserve">Serviciul resurse umane </t>
  </si>
  <si>
    <t xml:space="preserve">Secția juridică </t>
  </si>
  <si>
    <t>Șofer</t>
  </si>
  <si>
    <t>III</t>
  </si>
  <si>
    <t>II</t>
  </si>
  <si>
    <t>Buc</t>
  </si>
  <si>
    <t>Preti</t>
  </si>
  <si>
    <t>Suma</t>
  </si>
  <si>
    <t>Masa pentru calculator</t>
  </si>
  <si>
    <t>Dulam perete</t>
  </si>
  <si>
    <t>jaluzele</t>
  </si>
  <si>
    <t>calculatare</t>
  </si>
  <si>
    <t>fotoliu</t>
  </si>
  <si>
    <t>printer</t>
  </si>
  <si>
    <t xml:space="preserve">safeu </t>
  </si>
  <si>
    <t>telefoane</t>
  </si>
  <si>
    <t>Rechizite de birou</t>
  </si>
  <si>
    <t>Hîrtie</t>
  </si>
  <si>
    <t xml:space="preserve">Toner </t>
  </si>
  <si>
    <t>Materialile şi obiecte de uz  gospodaresc</t>
  </si>
  <si>
    <t>Total</t>
  </si>
  <si>
    <t>plata serviciilor de francare a corespondenţei</t>
  </si>
  <si>
    <t>plata serviciilor de abonament 42 lei*</t>
  </si>
  <si>
    <t>plata serviciilor locale şi interurbane 400 lei*12luni</t>
  </si>
  <si>
    <t>revizia tehnică</t>
  </si>
  <si>
    <t xml:space="preserve">asigurarea transportului </t>
  </si>
  <si>
    <t>plata impozitul rutier</t>
  </si>
  <si>
    <t>parcarea 350lei*12 luni</t>
  </si>
  <si>
    <t>spălarea automobilului</t>
  </si>
  <si>
    <t>reparaţia şi deservire tehnică a automobilui</t>
  </si>
  <si>
    <t>a calculatoarelor</t>
  </si>
  <si>
    <t>a copiatoarelor</t>
  </si>
  <si>
    <t xml:space="preserve">asistenţa tehnică a maşinii de francat corespondenţa </t>
  </si>
  <si>
    <t>profilactica climatizatoarelor</t>
  </si>
  <si>
    <t>pentru 11 pers</t>
  </si>
  <si>
    <t>Birouri</t>
  </si>
  <si>
    <t>sala de sedinta</t>
  </si>
  <si>
    <t>Total m2</t>
  </si>
  <si>
    <t>energia electrica</t>
  </si>
  <si>
    <t>energia termică</t>
  </si>
  <si>
    <t>apă şi canalizare</t>
  </si>
  <si>
    <t>salubritate</t>
  </si>
  <si>
    <t>Total lei</t>
  </si>
  <si>
    <t>pentru 31 pers</t>
  </si>
  <si>
    <t>pentru20 adaugator</t>
  </si>
  <si>
    <t>aprovizionarea cu apa</t>
  </si>
  <si>
    <t>cusutul documentelor de serviciu</t>
  </si>
  <si>
    <t xml:space="preserve">serviciul de folosirea salii pentru adunarea generala a judecatorilor </t>
  </si>
  <si>
    <t>TOTAL</t>
  </si>
  <si>
    <t>Retribuirea muncii</t>
  </si>
  <si>
    <t>Contribuţii de asigurări sociale de stat obligatorii</t>
  </si>
  <si>
    <t>Prime de asigurare obligatorie de asistenţă medicală achitate de patroni</t>
  </si>
  <si>
    <t>Plata mărfurilor şi serviciilor</t>
  </si>
  <si>
    <t>113-03</t>
  </si>
  <si>
    <t>Rechizite de birou, materiale şi obiecte de uz gospodăresc</t>
  </si>
  <si>
    <t>113-06</t>
  </si>
  <si>
    <t>Cărţi şi ediţii periodice</t>
  </si>
  <si>
    <t>113-11</t>
  </si>
  <si>
    <t>Servicii de telecomunicaţie şi de poştă</t>
  </si>
  <si>
    <t>113-13</t>
  </si>
  <si>
    <t>Servicii de transport</t>
  </si>
  <si>
    <t>113-17</t>
  </si>
  <si>
    <t>Reparaţii curente ale clădirilor şi încăperilor</t>
  </si>
  <si>
    <t>113-18</t>
  </si>
  <si>
    <t>Reparaţii curente ale utilajului şi inventarului</t>
  </si>
  <si>
    <t>113-19</t>
  </si>
  <si>
    <t>Arendarea bunurilor</t>
  </si>
  <si>
    <t>113-21</t>
  </si>
  <si>
    <t>Formare profesională</t>
  </si>
  <si>
    <t>113-22</t>
  </si>
  <si>
    <t>Servicii editoriale</t>
  </si>
  <si>
    <t>113-30</t>
  </si>
  <si>
    <t>Lucrări de informatică şi de calcul</t>
  </si>
  <si>
    <t>113-45</t>
  </si>
  <si>
    <t>Mărfuri şi servicii neatribuite altor alineate</t>
  </si>
  <si>
    <t>113-47</t>
  </si>
  <si>
    <t>Comision aferent serviciilor bancare</t>
  </si>
  <si>
    <t>Deplasări în interes de serviciu</t>
  </si>
  <si>
    <t>114-02</t>
  </si>
  <si>
    <t>Deplasări peste hotare</t>
  </si>
  <si>
    <t>Transferuri către populaţie</t>
  </si>
  <si>
    <t>135-33</t>
  </si>
  <si>
    <t>Indemnizaţii pentru incapacitatea temporară de muncă achitate din mijloacele financiare ale angajatorului</t>
  </si>
  <si>
    <t>procurarea benzinei 4800 litri*18 lei</t>
  </si>
  <si>
    <t>Costurile</t>
  </si>
  <si>
    <t xml:space="preserve">11 pers 
(mii lei)
</t>
  </si>
  <si>
    <t xml:space="preserve">31 pers 
(mii lei)
</t>
  </si>
  <si>
    <t xml:space="preserve">20 pers adaug 
(mii lei)
</t>
  </si>
  <si>
    <t xml:space="preserve">Total </t>
  </si>
  <si>
    <t>economist principal</t>
  </si>
  <si>
    <t>inginer principal</t>
  </si>
  <si>
    <t>analist principal</t>
  </si>
</sst>
</file>

<file path=xl/styles.xml><?xml version="1.0" encoding="utf-8"?>
<styleSheet xmlns="http://schemas.openxmlformats.org/spreadsheetml/2006/main">
  <numFmts count="2">
    <numFmt numFmtId="164" formatCode="0.0%"/>
    <numFmt numFmtId="165" formatCode="0.0"/>
  </numFmts>
  <fonts count="22">
    <font>
      <sz val="11"/>
      <color theme="1"/>
      <name val="Calibri"/>
      <family val="2"/>
      <scheme val="minor"/>
    </font>
    <font>
      <b/>
      <sz val="14"/>
      <color theme="1"/>
      <name val="Times New Roman"/>
      <family val="1"/>
      <charset val="204"/>
    </font>
    <font>
      <sz val="10"/>
      <name val="Arial"/>
      <family val="2"/>
    </font>
    <font>
      <sz val="14"/>
      <color theme="1"/>
      <name val="Calibri"/>
      <family val="2"/>
      <scheme val="minor"/>
    </font>
    <font>
      <i/>
      <sz val="8"/>
      <color theme="1"/>
      <name val="Calibri"/>
      <family val="2"/>
      <charset val="204"/>
      <scheme val="minor"/>
    </font>
    <font>
      <sz val="10"/>
      <name val="Cambria"/>
      <family val="1"/>
      <charset val="204"/>
      <scheme val="major"/>
    </font>
    <font>
      <sz val="11"/>
      <color rgb="FF0070C0"/>
      <name val="Calibri"/>
      <family val="2"/>
      <scheme val="minor"/>
    </font>
    <font>
      <b/>
      <sz val="14"/>
      <name val="Cambria"/>
      <family val="1"/>
      <charset val="204"/>
      <scheme val="major"/>
    </font>
    <font>
      <sz val="12"/>
      <name val="Cambria"/>
      <family val="1"/>
      <charset val="204"/>
      <scheme val="major"/>
    </font>
    <font>
      <vertAlign val="superscript"/>
      <sz val="10"/>
      <name val="Cambria"/>
      <family val="1"/>
      <charset val="204"/>
      <scheme val="major"/>
    </font>
    <font>
      <i/>
      <sz val="8"/>
      <name val="Cambria"/>
      <family val="1"/>
      <charset val="204"/>
      <scheme val="major"/>
    </font>
    <font>
      <b/>
      <i/>
      <u/>
      <sz val="14"/>
      <name val="Cambria"/>
      <family val="1"/>
      <charset val="204"/>
      <scheme val="major"/>
    </font>
    <font>
      <b/>
      <sz val="10"/>
      <name val="Cambria"/>
      <family val="1"/>
      <charset val="204"/>
      <scheme val="major"/>
    </font>
    <font>
      <i/>
      <u/>
      <sz val="8"/>
      <color rgb="FFFF0000"/>
      <name val="Cambria"/>
      <family val="1"/>
      <charset val="204"/>
      <scheme val="major"/>
    </font>
    <font>
      <vertAlign val="subscript"/>
      <sz val="10"/>
      <name val="Cambria"/>
      <family val="1"/>
      <charset val="204"/>
      <scheme val="major"/>
    </font>
    <font>
      <i/>
      <sz val="10"/>
      <name val="Cambria"/>
      <family val="1"/>
      <charset val="204"/>
      <scheme val="major"/>
    </font>
    <font>
      <sz val="12"/>
      <color rgb="FF000000"/>
      <name val="Times New Roman"/>
      <family val="1"/>
      <charset val="204"/>
    </font>
    <font>
      <b/>
      <sz val="12"/>
      <color rgb="FF000000"/>
      <name val="Times New Roman"/>
      <family val="1"/>
      <charset val="204"/>
    </font>
    <font>
      <b/>
      <i/>
      <sz val="12"/>
      <color rgb="FF000000"/>
      <name val="Times New Roman"/>
      <family val="1"/>
      <charset val="204"/>
    </font>
    <font>
      <b/>
      <sz val="10"/>
      <name val="Arial"/>
      <family val="2"/>
      <charset val="204"/>
    </font>
    <font>
      <b/>
      <sz val="10"/>
      <name val="Times New Roman"/>
      <family val="1"/>
      <charset val="204"/>
    </font>
    <font>
      <sz val="10"/>
      <name val="Times New Roman"/>
      <family val="1"/>
      <charset val="204"/>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33">
    <border>
      <left/>
      <right/>
      <top/>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s>
  <cellStyleXfs count="2">
    <xf numFmtId="0" fontId="0" fillId="0" borderId="0"/>
    <xf numFmtId="0" fontId="2" fillId="0" borderId="0"/>
  </cellStyleXfs>
  <cellXfs count="100">
    <xf numFmtId="0" fontId="0" fillId="0" borderId="0" xfId="0"/>
    <xf numFmtId="0" fontId="0" fillId="0" borderId="0" xfId="0" applyAlignment="1">
      <alignment horizontal="center" vertical="center"/>
    </xf>
    <xf numFmtId="0" fontId="0" fillId="0" borderId="0" xfId="0" applyFont="1" applyAlignment="1">
      <alignment vertical="top"/>
    </xf>
    <xf numFmtId="0" fontId="0" fillId="0" borderId="0" xfId="0" applyFont="1"/>
    <xf numFmtId="0" fontId="3" fillId="0" borderId="0" xfId="0" applyFont="1"/>
    <xf numFmtId="0" fontId="4" fillId="0" borderId="0" xfId="0" applyFont="1" applyAlignment="1">
      <alignment horizontal="left" vertical="center"/>
    </xf>
    <xf numFmtId="0" fontId="1" fillId="0" borderId="0" xfId="0" applyFont="1" applyBorder="1" applyAlignment="1">
      <alignment vertical="center"/>
    </xf>
    <xf numFmtId="0" fontId="0" fillId="0" borderId="0" xfId="0" applyFont="1" applyFill="1" applyAlignment="1">
      <alignment vertical="center"/>
    </xf>
    <xf numFmtId="0" fontId="5" fillId="0" borderId="1" xfId="0" applyFont="1" applyFill="1" applyBorder="1"/>
    <xf numFmtId="0" fontId="5" fillId="0" borderId="0" xfId="0" applyFont="1" applyFill="1" applyBorder="1" applyAlignment="1">
      <alignment horizontal="center" vertical="center"/>
    </xf>
    <xf numFmtId="0" fontId="8" fillId="0" borderId="0" xfId="0" applyFont="1" applyFill="1" applyAlignment="1">
      <alignment horizontal="left" wrapText="1"/>
    </xf>
    <xf numFmtId="0" fontId="5" fillId="0" borderId="0" xfId="0" applyFont="1" applyFill="1" applyAlignment="1">
      <alignment horizontal="center" vertical="center"/>
    </xf>
    <xf numFmtId="0" fontId="5" fillId="0" borderId="0" xfId="0" applyFont="1" applyFill="1"/>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5" fillId="0" borderId="1" xfId="0" applyFont="1" applyFill="1" applyBorder="1" applyAlignment="1">
      <alignment horizontal="right"/>
    </xf>
    <xf numFmtId="165" fontId="5" fillId="0" borderId="1" xfId="0" applyNumberFormat="1" applyFont="1" applyFill="1" applyBorder="1" applyAlignment="1">
      <alignment horizontal="right"/>
    </xf>
    <xf numFmtId="0" fontId="5" fillId="0" borderId="1" xfId="0" applyFont="1" applyFill="1" applyBorder="1" applyAlignment="1">
      <alignment horizontal="left" wrapText="1"/>
    </xf>
    <xf numFmtId="164" fontId="5" fillId="0" borderId="1" xfId="0" applyNumberFormat="1" applyFont="1" applyFill="1" applyBorder="1" applyAlignment="1">
      <alignment horizontal="right"/>
    </xf>
    <xf numFmtId="0" fontId="5" fillId="2" borderId="1" xfId="0" applyFont="1" applyFill="1" applyBorder="1" applyAlignment="1">
      <alignment horizontal="left" vertical="center" wrapText="1"/>
    </xf>
    <xf numFmtId="0" fontId="5" fillId="2" borderId="1" xfId="0" applyFont="1" applyFill="1" applyBorder="1" applyAlignment="1">
      <alignment horizontal="right"/>
    </xf>
    <xf numFmtId="165" fontId="5" fillId="2" borderId="1" xfId="0" applyNumberFormat="1" applyFont="1" applyFill="1" applyBorder="1" applyAlignment="1">
      <alignment horizontal="right"/>
    </xf>
    <xf numFmtId="0" fontId="6" fillId="2" borderId="0" xfId="0" applyFont="1" applyFill="1" applyAlignment="1">
      <alignment vertical="center"/>
    </xf>
    <xf numFmtId="0" fontId="6" fillId="2" borderId="0" xfId="0" applyFont="1" applyFill="1"/>
    <xf numFmtId="0" fontId="5" fillId="0" borderId="0" xfId="0" applyFont="1" applyFill="1" applyBorder="1" applyAlignment="1">
      <alignment vertical="center"/>
    </xf>
    <xf numFmtId="0" fontId="5"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5"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0" xfId="0" applyFont="1" applyFill="1" applyAlignment="1">
      <alignment horizontal="left" vertical="center" wrapText="1"/>
    </xf>
    <xf numFmtId="0" fontId="7" fillId="0" borderId="0" xfId="0" applyFont="1" applyFill="1" applyBorder="1" applyAlignment="1">
      <alignment horizontal="center" vertical="center"/>
    </xf>
    <xf numFmtId="0" fontId="5" fillId="0" borderId="0" xfId="0" applyFont="1" applyFill="1" applyAlignment="1">
      <alignment horizontal="right" vertical="center" wrapText="1"/>
    </xf>
    <xf numFmtId="0" fontId="16" fillId="0" borderId="0" xfId="0" applyFont="1"/>
    <xf numFmtId="0" fontId="12" fillId="3" borderId="1" xfId="0" applyFont="1" applyFill="1" applyBorder="1" applyAlignment="1">
      <alignment horizontal="left" vertical="center" wrapText="1"/>
    </xf>
    <xf numFmtId="0" fontId="17" fillId="3" borderId="0" xfId="0" applyFont="1" applyFill="1"/>
    <xf numFmtId="0" fontId="18" fillId="3" borderId="0" xfId="0" applyFont="1" applyFill="1"/>
    <xf numFmtId="0" fontId="0" fillId="0" borderId="9" xfId="0" applyBorder="1"/>
    <xf numFmtId="165" fontId="0" fillId="0" borderId="9" xfId="0" applyNumberFormat="1" applyBorder="1"/>
    <xf numFmtId="165" fontId="0" fillId="0" borderId="0" xfId="0" applyNumberFormat="1"/>
    <xf numFmtId="1" fontId="0" fillId="0" borderId="9" xfId="0" applyNumberFormat="1" applyBorder="1"/>
    <xf numFmtId="2" fontId="0" fillId="0" borderId="9" xfId="0" applyNumberFormat="1" applyBorder="1"/>
    <xf numFmtId="0" fontId="19" fillId="0" borderId="10" xfId="0" applyFont="1"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19" fillId="0" borderId="11" xfId="0" applyFont="1" applyBorder="1"/>
    <xf numFmtId="0" fontId="0" fillId="0" borderId="11" xfId="0" applyBorder="1"/>
    <xf numFmtId="0" fontId="19" fillId="0" borderId="12" xfId="0" applyFont="1" applyBorder="1"/>
    <xf numFmtId="0" fontId="0" fillId="0" borderId="18" xfId="0" applyBorder="1"/>
    <xf numFmtId="0" fontId="0" fillId="0" borderId="19" xfId="0" applyBorder="1"/>
    <xf numFmtId="0" fontId="0" fillId="0" borderId="20" xfId="0" applyBorder="1"/>
    <xf numFmtId="2" fontId="0" fillId="0" borderId="16" xfId="0" applyNumberFormat="1" applyBorder="1"/>
    <xf numFmtId="0" fontId="19" fillId="0" borderId="0" xfId="0" applyFont="1"/>
    <xf numFmtId="2" fontId="19" fillId="0" borderId="11" xfId="0" applyNumberFormat="1" applyFont="1" applyBorder="1"/>
    <xf numFmtId="0" fontId="5" fillId="0" borderId="0" xfId="0" applyFont="1" applyFill="1" applyBorder="1" applyAlignment="1">
      <alignment horizontal="right"/>
    </xf>
    <xf numFmtId="165" fontId="5" fillId="0" borderId="0" xfId="0" applyNumberFormat="1" applyFont="1" applyFill="1" applyBorder="1" applyAlignment="1">
      <alignment horizontal="right"/>
    </xf>
    <xf numFmtId="0" fontId="19" fillId="0" borderId="21" xfId="0" applyFont="1" applyBorder="1"/>
    <xf numFmtId="0" fontId="19" fillId="0" borderId="22" xfId="0" applyFont="1" applyBorder="1"/>
    <xf numFmtId="0" fontId="20" fillId="0" borderId="24" xfId="0" applyFont="1" applyBorder="1"/>
    <xf numFmtId="0" fontId="19" fillId="0" borderId="25" xfId="0" applyFont="1" applyBorder="1"/>
    <xf numFmtId="165" fontId="19" fillId="0" borderId="26" xfId="0" applyNumberFormat="1" applyFont="1" applyBorder="1"/>
    <xf numFmtId="165" fontId="19" fillId="0" borderId="25" xfId="0" applyNumberFormat="1" applyFont="1" applyBorder="1"/>
    <xf numFmtId="0" fontId="20" fillId="0" borderId="27" xfId="0" applyFont="1" applyBorder="1"/>
    <xf numFmtId="0" fontId="19" fillId="0" borderId="28" xfId="0" applyFont="1" applyBorder="1"/>
    <xf numFmtId="165" fontId="19" fillId="0" borderId="29" xfId="0" applyNumberFormat="1" applyFont="1" applyBorder="1"/>
    <xf numFmtId="0" fontId="21" fillId="0" borderId="27" xfId="0" applyFont="1" applyBorder="1"/>
    <xf numFmtId="0" fontId="0" fillId="0" borderId="28" xfId="0" applyBorder="1"/>
    <xf numFmtId="165" fontId="0" fillId="0" borderId="29" xfId="0" applyNumberFormat="1" applyBorder="1"/>
    <xf numFmtId="0" fontId="21" fillId="0" borderId="30" xfId="0" applyFont="1" applyBorder="1"/>
    <xf numFmtId="0" fontId="0" fillId="0" borderId="31" xfId="0" applyBorder="1"/>
    <xf numFmtId="165" fontId="0" fillId="0" borderId="32" xfId="0" applyNumberFormat="1" applyBorder="1"/>
    <xf numFmtId="0" fontId="0" fillId="0" borderId="10" xfId="0" applyBorder="1"/>
    <xf numFmtId="0" fontId="20" fillId="0" borderId="21" xfId="0" applyFont="1" applyBorder="1"/>
    <xf numFmtId="165" fontId="19" fillId="0" borderId="23" xfId="0" applyNumberFormat="1" applyFont="1" applyBorder="1"/>
    <xf numFmtId="165" fontId="19" fillId="0" borderId="22" xfId="0" applyNumberFormat="1" applyFont="1" applyBorder="1"/>
    <xf numFmtId="0" fontId="19" fillId="0" borderId="23" xfId="0" applyFont="1" applyBorder="1" applyAlignment="1">
      <alignment vertical="top" wrapText="1"/>
    </xf>
    <xf numFmtId="0" fontId="19" fillId="0" borderId="22" xfId="0" applyFont="1" applyBorder="1" applyAlignment="1">
      <alignment vertical="top" wrapText="1"/>
    </xf>
    <xf numFmtId="0" fontId="15" fillId="0" borderId="0" xfId="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7" xfId="0" applyFont="1" applyFill="1" applyBorder="1" applyAlignment="1">
      <alignment horizontal="center" vertical="center"/>
    </xf>
    <xf numFmtId="0" fontId="7" fillId="0" borderId="0"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center" wrapText="1"/>
    </xf>
    <xf numFmtId="0" fontId="5" fillId="0" borderId="0" xfId="0" applyFont="1" applyFill="1" applyAlignment="1">
      <alignment horizontal="left" vertical="top" wrapText="1"/>
    </xf>
    <xf numFmtId="0" fontId="5" fillId="0" borderId="0" xfId="0" applyFont="1" applyFill="1" applyAlignment="1">
      <alignment horizontal="right" vertical="center" wrapText="1"/>
    </xf>
    <xf numFmtId="0" fontId="14" fillId="0" borderId="0" xfId="0" applyFont="1" applyFill="1" applyAlignment="1">
      <alignment horizontal="center" wrapText="1"/>
    </xf>
    <xf numFmtId="0" fontId="19" fillId="0" borderId="11" xfId="0" applyFont="1" applyBorder="1" applyAlignment="1">
      <alignment horizontal="center"/>
    </xf>
    <xf numFmtId="0" fontId="19" fillId="0" borderId="12" xfId="0" applyFont="1" applyBorder="1" applyAlignment="1">
      <alignment horizontal="center"/>
    </xf>
  </cellXfs>
  <cellStyles count="2">
    <cellStyle name="Normal" xfId="0" builtinId="0"/>
    <cellStyle name="Normal 2 2" xfId="1"/>
  </cellStyles>
  <dxfs count="0"/>
  <tableStyles count="0" defaultTableStyle="TableStyleMedium9" defaultPivotStyle="PivotStyleLight16"/>
  <colors>
    <mruColors>
      <color rgb="FF251EAE"/>
      <color rgb="FF230EBE"/>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Costul%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tal"/>
      <sheetName val="La moment pentru 11 pers"/>
      <sheetName val="Proiect pentru 45 persoane"/>
      <sheetName val="Deviere pentru 35 de persoane"/>
      <sheetName val="111-112-116"/>
      <sheetName val="113-03"/>
      <sheetName val="113-11"/>
      <sheetName val="113-13"/>
      <sheetName val="113-17"/>
      <sheetName val="113-18"/>
      <sheetName val="113-19"/>
      <sheetName val="113-45"/>
    </sheetNames>
    <sheetDataSet>
      <sheetData sheetId="0"/>
      <sheetData sheetId="1"/>
      <sheetData sheetId="2">
        <row r="19">
          <cell r="C19">
            <v>1636.1919687863863</v>
          </cell>
        </row>
        <row r="21">
          <cell r="C21">
            <v>20</v>
          </cell>
        </row>
        <row r="28">
          <cell r="C28">
            <v>157.1</v>
          </cell>
        </row>
        <row r="32">
          <cell r="C32">
            <v>40</v>
          </cell>
        </row>
        <row r="33">
          <cell r="C33">
            <v>40</v>
          </cell>
        </row>
        <row r="34">
          <cell r="C34">
            <v>49</v>
          </cell>
        </row>
        <row r="35">
          <cell r="C35">
            <v>49</v>
          </cell>
        </row>
      </sheetData>
      <sheetData sheetId="3">
        <row r="17">
          <cell r="C17">
            <v>933.49196878638611</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24"/>
  <sheetViews>
    <sheetView workbookViewId="0">
      <selection activeCell="B7" sqref="B7"/>
    </sheetView>
  </sheetViews>
  <sheetFormatPr defaultColWidth="6.5703125" defaultRowHeight="15"/>
  <cols>
    <col min="2" max="2" width="80.7109375" customWidth="1"/>
    <col min="3" max="3" width="13.28515625" customWidth="1"/>
    <col min="4" max="4" width="13" customWidth="1"/>
    <col min="5" max="5" width="13.85546875" customWidth="1"/>
  </cols>
  <sheetData>
    <row r="1" spans="1:5">
      <c r="B1" t="s">
        <v>181</v>
      </c>
    </row>
    <row r="2" spans="1:5" ht="15.75" thickBot="1"/>
    <row r="3" spans="1:5" ht="30" customHeight="1" thickBot="1">
      <c r="A3" s="41"/>
      <c r="B3" s="58"/>
      <c r="C3" s="78" t="s">
        <v>182</v>
      </c>
      <c r="D3" s="77" t="s">
        <v>183</v>
      </c>
      <c r="E3" s="78" t="s">
        <v>184</v>
      </c>
    </row>
    <row r="4" spans="1:5">
      <c r="A4" s="50">
        <v>111</v>
      </c>
      <c r="B4" s="60" t="s">
        <v>146</v>
      </c>
      <c r="C4" s="61">
        <v>638.79999999999995</v>
      </c>
      <c r="D4" s="62">
        <f>'fdp+pcpfdp+fp+pdtafap'!AA55/1000</f>
        <v>1505.384</v>
      </c>
      <c r="E4" s="63">
        <f>D4-C4</f>
        <v>866.58400000000006</v>
      </c>
    </row>
    <row r="5" spans="1:5">
      <c r="A5" s="42">
        <v>112</v>
      </c>
      <c r="B5" s="64" t="s">
        <v>147</v>
      </c>
      <c r="C5" s="65">
        <v>137.4</v>
      </c>
      <c r="D5" s="66">
        <f>'fdp+pcpfdp+fp+pdtafap'!AC55/1000</f>
        <v>346.23831999999999</v>
      </c>
      <c r="E5" s="63">
        <f t="shared" ref="E5:E23" si="0">D5-C5</f>
        <v>208.83831999999998</v>
      </c>
    </row>
    <row r="6" spans="1:5">
      <c r="A6" s="42">
        <v>116</v>
      </c>
      <c r="B6" s="64" t="s">
        <v>148</v>
      </c>
      <c r="C6" s="65">
        <v>23.6</v>
      </c>
      <c r="D6" s="66">
        <f>'fdp+pcpfdp+fp+pdtafap'!AD55/1000</f>
        <v>55.608239999999995</v>
      </c>
      <c r="E6" s="63">
        <f t="shared" si="0"/>
        <v>32.008239999999994</v>
      </c>
    </row>
    <row r="7" spans="1:5">
      <c r="A7" s="42">
        <v>113</v>
      </c>
      <c r="B7" s="64" t="s">
        <v>149</v>
      </c>
      <c r="C7" s="65">
        <v>702.7</v>
      </c>
      <c r="D7" s="66">
        <f>D8+D9+D10+D11+D12+D13+D14+D15+D16+D17+D18+D19</f>
        <v>1311.1284313479623</v>
      </c>
      <c r="E7" s="63">
        <f t="shared" si="0"/>
        <v>608.42843134796226</v>
      </c>
    </row>
    <row r="8" spans="1:5">
      <c r="A8" s="42" t="s">
        <v>150</v>
      </c>
      <c r="B8" s="67" t="s">
        <v>151</v>
      </c>
      <c r="C8" s="68">
        <v>85</v>
      </c>
      <c r="D8" s="69">
        <f>'113,03'!D17</f>
        <v>395.54545454545456</v>
      </c>
      <c r="E8" s="63">
        <f t="shared" si="0"/>
        <v>310.54545454545456</v>
      </c>
    </row>
    <row r="9" spans="1:5">
      <c r="A9" s="42" t="s">
        <v>152</v>
      </c>
      <c r="B9" s="67" t="s">
        <v>153</v>
      </c>
      <c r="C9" s="68">
        <v>15</v>
      </c>
      <c r="D9" s="69">
        <f>'[1]Proiect pentru 45 persoane'!C21</f>
        <v>20</v>
      </c>
      <c r="E9" s="63">
        <f t="shared" si="0"/>
        <v>5</v>
      </c>
    </row>
    <row r="10" spans="1:5">
      <c r="A10" s="42" t="s">
        <v>154</v>
      </c>
      <c r="B10" s="67" t="s">
        <v>155</v>
      </c>
      <c r="C10" s="68">
        <v>46.1</v>
      </c>
      <c r="D10" s="69">
        <f>'113,11'!C5</f>
        <v>89.300000000000011</v>
      </c>
      <c r="E10" s="63">
        <f t="shared" si="0"/>
        <v>43.20000000000001</v>
      </c>
    </row>
    <row r="11" spans="1:5">
      <c r="A11" s="42" t="s">
        <v>156</v>
      </c>
      <c r="B11" s="67" t="s">
        <v>157</v>
      </c>
      <c r="C11" s="68">
        <v>76.3</v>
      </c>
      <c r="D11" s="69">
        <f>'113,13'!B9</f>
        <v>119.50000000000001</v>
      </c>
      <c r="E11" s="63">
        <f t="shared" si="0"/>
        <v>43.200000000000017</v>
      </c>
    </row>
    <row r="12" spans="1:5">
      <c r="A12" s="42" t="s">
        <v>158</v>
      </c>
      <c r="B12" s="67" t="s">
        <v>159</v>
      </c>
      <c r="C12" s="68">
        <v>200</v>
      </c>
      <c r="D12" s="69">
        <f>'113,17'!D3</f>
        <v>300</v>
      </c>
      <c r="E12" s="63">
        <f t="shared" si="0"/>
        <v>100</v>
      </c>
    </row>
    <row r="13" spans="1:5">
      <c r="A13" s="42" t="s">
        <v>160</v>
      </c>
      <c r="B13" s="67" t="s">
        <v>161</v>
      </c>
      <c r="C13" s="68">
        <v>7.6</v>
      </c>
      <c r="D13" s="69">
        <f>'113,18'!D6/1000</f>
        <v>18.954545454545457</v>
      </c>
      <c r="E13" s="63">
        <f t="shared" si="0"/>
        <v>11.354545454545457</v>
      </c>
    </row>
    <row r="14" spans="1:5">
      <c r="A14" s="42" t="s">
        <v>162</v>
      </c>
      <c r="B14" s="67" t="s">
        <v>163</v>
      </c>
      <c r="C14" s="68">
        <v>74.400000000000006</v>
      </c>
      <c r="D14" s="69">
        <f>'113,19'!D9/1000</f>
        <v>140.32075134796239</v>
      </c>
      <c r="E14" s="63">
        <f t="shared" si="0"/>
        <v>65.92075134796238</v>
      </c>
    </row>
    <row r="15" spans="1:5">
      <c r="A15" s="42" t="s">
        <v>164</v>
      </c>
      <c r="B15" s="67" t="s">
        <v>165</v>
      </c>
      <c r="C15" s="68">
        <v>12.8</v>
      </c>
      <c r="D15" s="69">
        <f>D4*2%</f>
        <v>30.107680000000002</v>
      </c>
      <c r="E15" s="63">
        <f t="shared" si="0"/>
        <v>17.307680000000001</v>
      </c>
    </row>
    <row r="16" spans="1:5">
      <c r="A16" s="42" t="s">
        <v>166</v>
      </c>
      <c r="B16" s="67" t="s">
        <v>167</v>
      </c>
      <c r="C16" s="68">
        <v>157.1</v>
      </c>
      <c r="D16" s="69">
        <f>'[1]Proiect pentru 45 persoane'!C28</f>
        <v>157.1</v>
      </c>
      <c r="E16" s="63">
        <f t="shared" si="0"/>
        <v>0</v>
      </c>
    </row>
    <row r="17" spans="1:5">
      <c r="A17" s="42" t="s">
        <v>168</v>
      </c>
      <c r="B17" s="67" t="s">
        <v>169</v>
      </c>
      <c r="C17" s="68">
        <v>2</v>
      </c>
      <c r="D17" s="69">
        <v>0</v>
      </c>
      <c r="E17" s="63">
        <v>0</v>
      </c>
    </row>
    <row r="18" spans="1:5">
      <c r="A18" s="42" t="s">
        <v>170</v>
      </c>
      <c r="B18" s="67" t="s">
        <v>171</v>
      </c>
      <c r="C18" s="68">
        <v>24.2</v>
      </c>
      <c r="D18" s="69">
        <f>'113,45'!C5</f>
        <v>35.6</v>
      </c>
      <c r="E18" s="63">
        <f t="shared" si="0"/>
        <v>11.400000000000002</v>
      </c>
    </row>
    <row r="19" spans="1:5">
      <c r="A19" s="42" t="s">
        <v>172</v>
      </c>
      <c r="B19" s="67" t="s">
        <v>173</v>
      </c>
      <c r="C19" s="68">
        <v>2.2000000000000002</v>
      </c>
      <c r="D19" s="69">
        <v>4.7</v>
      </c>
      <c r="E19" s="63">
        <f t="shared" si="0"/>
        <v>2.5</v>
      </c>
    </row>
    <row r="20" spans="1:5">
      <c r="A20" s="42">
        <v>114</v>
      </c>
      <c r="B20" s="64" t="s">
        <v>174</v>
      </c>
      <c r="C20" s="65">
        <v>40</v>
      </c>
      <c r="D20" s="66">
        <f>'[1]Proiect pentru 45 persoane'!C32</f>
        <v>40</v>
      </c>
      <c r="E20" s="63">
        <f t="shared" si="0"/>
        <v>0</v>
      </c>
    </row>
    <row r="21" spans="1:5">
      <c r="A21" s="42" t="s">
        <v>175</v>
      </c>
      <c r="B21" s="67" t="s">
        <v>176</v>
      </c>
      <c r="C21" s="68">
        <v>40</v>
      </c>
      <c r="D21" s="69">
        <f>'[1]Proiect pentru 45 persoane'!C33</f>
        <v>40</v>
      </c>
      <c r="E21" s="63">
        <f t="shared" si="0"/>
        <v>0</v>
      </c>
    </row>
    <row r="22" spans="1:5">
      <c r="A22" s="42">
        <v>135</v>
      </c>
      <c r="B22" s="64" t="s">
        <v>177</v>
      </c>
      <c r="C22" s="65">
        <v>12</v>
      </c>
      <c r="D22" s="66">
        <f>'[1]Proiect pentru 45 persoane'!C34</f>
        <v>49</v>
      </c>
      <c r="E22" s="63">
        <f t="shared" si="0"/>
        <v>37</v>
      </c>
    </row>
    <row r="23" spans="1:5" ht="15.75" thickBot="1">
      <c r="A23" s="44" t="s">
        <v>178</v>
      </c>
      <c r="B23" s="70" t="s">
        <v>179</v>
      </c>
      <c r="C23" s="71">
        <v>12</v>
      </c>
      <c r="D23" s="72">
        <f>'[1]Proiect pentru 45 persoane'!C35</f>
        <v>49</v>
      </c>
      <c r="E23" s="63">
        <f t="shared" si="0"/>
        <v>37</v>
      </c>
    </row>
    <row r="24" spans="1:5" ht="15.75" thickBot="1">
      <c r="A24" s="73"/>
      <c r="B24" s="74" t="s">
        <v>185</v>
      </c>
      <c r="C24" s="59">
        <f>C4+C5+C6+C7+C20+C22</f>
        <v>1554.5</v>
      </c>
      <c r="D24" s="75">
        <f>D4+D5+D6+D7+D20+D22</f>
        <v>3307.3589913479623</v>
      </c>
      <c r="E24" s="76">
        <f>E4+E5+E6+E7+E20+E22</f>
        <v>1752.8589913479623</v>
      </c>
    </row>
  </sheetData>
  <pageMargins left="0.70866141732283472" right="0.70866141732283472" top="0.74803149606299213" bottom="0.74803149606299213" header="0.31496062992125984" footer="0.31496062992125984"/>
  <pageSetup paperSize="9" orientation="landscape" verticalDpi="0" r:id="rId1"/>
</worksheet>
</file>

<file path=xl/worksheets/sheet10.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1"/>
  <dimension ref="A1:AI75"/>
  <sheetViews>
    <sheetView tabSelected="1" view="pageBreakPreview" topLeftCell="B43" zoomScale="70" zoomScaleNormal="70" zoomScaleSheetLayoutView="70" workbookViewId="0">
      <selection activeCell="A51" sqref="A51"/>
    </sheetView>
  </sheetViews>
  <sheetFormatPr defaultRowHeight="15"/>
  <cols>
    <col min="1" max="1" width="49.42578125" style="27" customWidth="1"/>
    <col min="2" max="4" width="6.85546875" style="11" customWidth="1"/>
    <col min="5" max="5" width="11.140625" style="11" customWidth="1"/>
    <col min="6" max="6" width="13.7109375" style="11" customWidth="1"/>
    <col min="7" max="7" width="6.42578125" style="11" customWidth="1"/>
    <col min="8" max="8" width="8.42578125" style="11" customWidth="1"/>
    <col min="9" max="9" width="6.42578125" style="11" customWidth="1"/>
    <col min="10" max="10" width="10.140625" style="11" customWidth="1"/>
    <col min="11" max="11" width="7.5703125" style="11" customWidth="1"/>
    <col min="12" max="12" width="9.85546875" style="11" customWidth="1"/>
    <col min="13" max="13" width="6.7109375" style="11" customWidth="1"/>
    <col min="14" max="14" width="12.28515625" style="11" customWidth="1"/>
    <col min="15" max="15" width="8.5703125" style="11" customWidth="1"/>
    <col min="16" max="16" width="11.28515625" style="11" customWidth="1"/>
    <col min="17" max="19" width="9.85546875" style="11" customWidth="1"/>
    <col min="20" max="20" width="13.42578125" style="11" customWidth="1"/>
    <col min="21" max="21" width="9" style="11" customWidth="1"/>
    <col min="22" max="22" width="11" style="11" customWidth="1"/>
    <col min="23" max="23" width="16.42578125" style="11" customWidth="1"/>
    <col min="24" max="24" width="10.5703125" style="11" customWidth="1"/>
    <col min="25" max="25" width="12" style="12" customWidth="1"/>
    <col min="26" max="26" width="12.140625" style="12" customWidth="1"/>
    <col min="27" max="27" width="13.5703125" style="12" customWidth="1"/>
    <col min="28" max="28" width="12.7109375" style="12" customWidth="1"/>
    <col min="29" max="29" width="10" style="12" customWidth="1"/>
    <col min="30" max="30" width="9.140625" style="12"/>
    <col min="31" max="31" width="12.140625" style="12" customWidth="1"/>
  </cols>
  <sheetData>
    <row r="1" spans="1:33" s="4" customFormat="1" ht="18.75">
      <c r="A1" s="84" t="s">
        <v>64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6"/>
      <c r="AG1" s="6"/>
    </row>
    <row r="2" spans="1:33" s="4" customFormat="1" ht="31.5" customHeight="1">
      <c r="A2" s="79" t="s">
        <v>74</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6"/>
      <c r="AG2" s="6"/>
    </row>
    <row r="3" spans="1:33" s="4" customFormat="1" ht="18.75">
      <c r="A3" s="26"/>
      <c r="B3" s="26"/>
      <c r="C3" s="26"/>
      <c r="D3" s="26"/>
      <c r="E3" s="26"/>
      <c r="F3" s="26"/>
      <c r="G3" s="26"/>
      <c r="H3" s="26"/>
      <c r="I3" s="26"/>
      <c r="J3" s="26"/>
      <c r="K3" s="26"/>
      <c r="L3" s="26"/>
      <c r="M3" s="26"/>
      <c r="N3" s="26"/>
      <c r="O3" s="26"/>
      <c r="P3" s="26"/>
      <c r="Q3" s="26"/>
      <c r="R3" s="26"/>
      <c r="S3" s="26"/>
      <c r="T3" s="26"/>
      <c r="U3" s="26"/>
      <c r="V3" s="26"/>
      <c r="W3" s="26"/>
      <c r="X3" s="9" t="s">
        <v>46</v>
      </c>
      <c r="Y3" s="26"/>
      <c r="Z3" s="26"/>
      <c r="AA3" s="30"/>
      <c r="AB3" s="26"/>
      <c r="AC3" s="26"/>
      <c r="AD3" s="26"/>
      <c r="AE3" s="30"/>
      <c r="AF3" s="6"/>
      <c r="AG3" s="6"/>
    </row>
    <row r="4" spans="1:33">
      <c r="A4" s="8" t="s">
        <v>47</v>
      </c>
      <c r="B4" s="81"/>
      <c r="C4" s="82"/>
      <c r="D4" s="82"/>
      <c r="E4" s="82"/>
      <c r="F4" s="82"/>
      <c r="G4" s="82"/>
      <c r="H4" s="82"/>
      <c r="I4" s="82"/>
      <c r="J4" s="82"/>
      <c r="K4" s="82"/>
      <c r="L4" s="82"/>
      <c r="M4" s="82"/>
      <c r="N4" s="82"/>
      <c r="O4" s="82"/>
      <c r="P4" s="82"/>
      <c r="Q4" s="82"/>
      <c r="R4" s="82"/>
      <c r="S4" s="82"/>
      <c r="T4" s="82"/>
      <c r="U4" s="82"/>
      <c r="V4" s="82"/>
      <c r="W4" s="83"/>
      <c r="X4" s="25"/>
      <c r="Y4" s="9"/>
      <c r="Z4" s="9"/>
      <c r="AA4" s="9"/>
      <c r="AB4" s="9"/>
      <c r="AC4" s="24"/>
      <c r="AD4" s="24"/>
      <c r="AE4" s="24"/>
      <c r="AF4" s="1"/>
      <c r="AG4" s="1"/>
    </row>
    <row r="5" spans="1:33">
      <c r="A5" s="8" t="s">
        <v>7</v>
      </c>
      <c r="B5" s="81"/>
      <c r="C5" s="82"/>
      <c r="D5" s="82"/>
      <c r="E5" s="82"/>
      <c r="F5" s="82"/>
      <c r="G5" s="82"/>
      <c r="H5" s="82"/>
      <c r="I5" s="82"/>
      <c r="J5" s="82"/>
      <c r="K5" s="82"/>
      <c r="L5" s="82"/>
      <c r="M5" s="82"/>
      <c r="N5" s="82"/>
      <c r="O5" s="82"/>
      <c r="P5" s="82"/>
      <c r="Q5" s="82"/>
      <c r="R5" s="82"/>
      <c r="S5" s="82"/>
      <c r="T5" s="82"/>
      <c r="U5" s="82"/>
      <c r="V5" s="82"/>
      <c r="W5" s="83"/>
      <c r="X5" s="25"/>
      <c r="Y5" s="9"/>
      <c r="Z5" s="9"/>
      <c r="AA5" s="9"/>
      <c r="AB5" s="9"/>
      <c r="AC5" s="24"/>
      <c r="AD5" s="24"/>
      <c r="AE5" s="24"/>
      <c r="AF5" s="1"/>
      <c r="AG5" s="1"/>
    </row>
    <row r="6" spans="1:33">
      <c r="A6" s="8" t="s">
        <v>8</v>
      </c>
      <c r="B6" s="81"/>
      <c r="C6" s="82"/>
      <c r="D6" s="82"/>
      <c r="E6" s="82"/>
      <c r="F6" s="82"/>
      <c r="G6" s="82"/>
      <c r="H6" s="82"/>
      <c r="I6" s="82"/>
      <c r="J6" s="82"/>
      <c r="K6" s="82"/>
      <c r="L6" s="82"/>
      <c r="M6" s="82"/>
      <c r="N6" s="82"/>
      <c r="O6" s="82"/>
      <c r="P6" s="82"/>
      <c r="Q6" s="82"/>
      <c r="R6" s="82"/>
      <c r="S6" s="82"/>
      <c r="T6" s="82"/>
      <c r="U6" s="82"/>
      <c r="V6" s="82"/>
      <c r="W6" s="83"/>
      <c r="X6" s="25"/>
      <c r="Y6" s="9"/>
      <c r="Z6" s="9"/>
      <c r="AA6" s="9"/>
      <c r="AB6" s="9"/>
      <c r="AC6" s="24"/>
      <c r="AD6" s="24"/>
      <c r="AE6" s="24"/>
      <c r="AF6" s="1"/>
      <c r="AG6" s="1"/>
    </row>
    <row r="7" spans="1:33">
      <c r="A7" s="8" t="s">
        <v>9</v>
      </c>
      <c r="B7" s="81"/>
      <c r="C7" s="82"/>
      <c r="D7" s="82"/>
      <c r="E7" s="82"/>
      <c r="F7" s="82"/>
      <c r="G7" s="82"/>
      <c r="H7" s="82"/>
      <c r="I7" s="82"/>
      <c r="J7" s="82"/>
      <c r="K7" s="82"/>
      <c r="L7" s="82"/>
      <c r="M7" s="82"/>
      <c r="N7" s="82"/>
      <c r="O7" s="82"/>
      <c r="P7" s="82"/>
      <c r="Q7" s="82"/>
      <c r="R7" s="82"/>
      <c r="S7" s="82"/>
      <c r="T7" s="82"/>
      <c r="U7" s="82"/>
      <c r="V7" s="82"/>
      <c r="W7" s="83"/>
      <c r="X7" s="25"/>
      <c r="Y7" s="9"/>
      <c r="Z7" s="9"/>
      <c r="AA7" s="9"/>
      <c r="AB7" s="9"/>
      <c r="AC7" s="24"/>
      <c r="AD7" s="24"/>
      <c r="AE7" s="24"/>
      <c r="AF7" s="1"/>
      <c r="AG7" s="1"/>
    </row>
    <row r="8" spans="1:33">
      <c r="A8" s="8" t="s">
        <v>10</v>
      </c>
      <c r="B8" s="81"/>
      <c r="C8" s="82"/>
      <c r="D8" s="82"/>
      <c r="E8" s="82"/>
      <c r="F8" s="82"/>
      <c r="G8" s="82"/>
      <c r="H8" s="82"/>
      <c r="I8" s="82"/>
      <c r="J8" s="82"/>
      <c r="K8" s="82"/>
      <c r="L8" s="82"/>
      <c r="M8" s="82"/>
      <c r="N8" s="82"/>
      <c r="O8" s="82"/>
      <c r="P8" s="82"/>
      <c r="Q8" s="82"/>
      <c r="R8" s="82"/>
      <c r="S8" s="82"/>
      <c r="T8" s="82"/>
      <c r="U8" s="82"/>
      <c r="V8" s="82"/>
      <c r="W8" s="83"/>
      <c r="X8" s="25"/>
      <c r="Y8" s="9"/>
      <c r="Z8" s="9"/>
      <c r="AA8" s="9"/>
      <c r="AB8" s="9"/>
      <c r="AC8" s="24"/>
      <c r="AD8" s="24"/>
      <c r="AE8" s="24"/>
      <c r="AF8" s="1"/>
      <c r="AG8" s="1"/>
    </row>
    <row r="9" spans="1:33">
      <c r="A9" s="8" t="s">
        <v>37</v>
      </c>
      <c r="B9" s="81"/>
      <c r="C9" s="82"/>
      <c r="D9" s="82"/>
      <c r="E9" s="82"/>
      <c r="F9" s="82"/>
      <c r="G9" s="82"/>
      <c r="H9" s="82"/>
      <c r="I9" s="82"/>
      <c r="J9" s="82"/>
      <c r="K9" s="82"/>
      <c r="L9" s="82"/>
      <c r="M9" s="82"/>
      <c r="N9" s="82"/>
      <c r="O9" s="82"/>
      <c r="P9" s="82"/>
      <c r="Q9" s="82"/>
      <c r="R9" s="82"/>
      <c r="S9" s="82"/>
      <c r="T9" s="82"/>
      <c r="U9" s="82"/>
      <c r="V9" s="82"/>
      <c r="W9" s="83"/>
      <c r="X9" s="25"/>
      <c r="Y9" s="9"/>
      <c r="Z9" s="9"/>
      <c r="AA9" s="9"/>
      <c r="AB9" s="9"/>
      <c r="AC9" s="24"/>
      <c r="AD9" s="24"/>
      <c r="AE9" s="24"/>
      <c r="AF9" s="1"/>
      <c r="AG9" s="1"/>
    </row>
    <row r="10" spans="1:33" ht="22.5" customHeight="1">
      <c r="A10" s="10"/>
      <c r="AE10" s="12" t="s">
        <v>15</v>
      </c>
    </row>
    <row r="11" spans="1:33" s="2" customFormat="1" ht="162.75" customHeight="1">
      <c r="A11" s="85" t="s">
        <v>45</v>
      </c>
      <c r="B11" s="87" t="s">
        <v>12</v>
      </c>
      <c r="C11" s="87" t="s">
        <v>22</v>
      </c>
      <c r="D11" s="87" t="s">
        <v>23</v>
      </c>
      <c r="E11" s="85" t="s">
        <v>25</v>
      </c>
      <c r="F11" s="85" t="s">
        <v>40</v>
      </c>
      <c r="G11" s="89" t="s">
        <v>41</v>
      </c>
      <c r="H11" s="90"/>
      <c r="I11" s="89" t="s">
        <v>16</v>
      </c>
      <c r="J11" s="90"/>
      <c r="K11" s="89" t="s">
        <v>42</v>
      </c>
      <c r="L11" s="90"/>
      <c r="M11" s="91" t="s">
        <v>24</v>
      </c>
      <c r="N11" s="92"/>
      <c r="O11" s="85" t="s">
        <v>26</v>
      </c>
      <c r="P11" s="85" t="s">
        <v>27</v>
      </c>
      <c r="Q11" s="85" t="s">
        <v>35</v>
      </c>
      <c r="R11" s="85" t="s">
        <v>33</v>
      </c>
      <c r="S11" s="85" t="s">
        <v>38</v>
      </c>
      <c r="T11" s="85" t="s">
        <v>44</v>
      </c>
      <c r="U11" s="85" t="s">
        <v>30</v>
      </c>
      <c r="V11" s="85" t="s">
        <v>39</v>
      </c>
      <c r="W11" s="85" t="s">
        <v>36</v>
      </c>
      <c r="X11" s="85" t="s">
        <v>17</v>
      </c>
      <c r="Y11" s="85" t="s">
        <v>3</v>
      </c>
      <c r="Z11" s="85" t="s">
        <v>4</v>
      </c>
      <c r="AA11" s="85" t="s">
        <v>43</v>
      </c>
      <c r="AB11" s="85" t="s">
        <v>75</v>
      </c>
      <c r="AC11" s="85" t="s">
        <v>76</v>
      </c>
      <c r="AD11" s="85" t="s">
        <v>77</v>
      </c>
      <c r="AE11" s="85" t="s">
        <v>78</v>
      </c>
    </row>
    <row r="12" spans="1:33" s="2" customFormat="1" ht="40.5" customHeight="1">
      <c r="A12" s="86"/>
      <c r="B12" s="88"/>
      <c r="C12" s="88"/>
      <c r="D12" s="88"/>
      <c r="E12" s="86"/>
      <c r="F12" s="86"/>
      <c r="G12" s="28" t="s">
        <v>5</v>
      </c>
      <c r="H12" s="28" t="s">
        <v>14</v>
      </c>
      <c r="I12" s="28" t="s">
        <v>5</v>
      </c>
      <c r="J12" s="28" t="s">
        <v>14</v>
      </c>
      <c r="K12" s="28" t="s">
        <v>6</v>
      </c>
      <c r="L12" s="28" t="s">
        <v>14</v>
      </c>
      <c r="M12" s="28" t="s">
        <v>5</v>
      </c>
      <c r="N12" s="28" t="s">
        <v>14</v>
      </c>
      <c r="O12" s="86"/>
      <c r="P12" s="86"/>
      <c r="Q12" s="86"/>
      <c r="R12" s="86"/>
      <c r="S12" s="86"/>
      <c r="T12" s="86"/>
      <c r="U12" s="86"/>
      <c r="V12" s="86"/>
      <c r="W12" s="86"/>
      <c r="X12" s="86"/>
      <c r="Y12" s="86"/>
      <c r="Z12" s="86"/>
      <c r="AA12" s="86"/>
      <c r="AB12" s="86"/>
      <c r="AC12" s="86"/>
      <c r="AD12" s="86"/>
      <c r="AE12" s="86"/>
    </row>
    <row r="13" spans="1:33" s="5" customFormat="1" ht="42" customHeight="1">
      <c r="A13" s="13">
        <v>1</v>
      </c>
      <c r="B13" s="14">
        <v>2</v>
      </c>
      <c r="C13" s="14">
        <v>3</v>
      </c>
      <c r="D13" s="14">
        <v>4</v>
      </c>
      <c r="E13" s="13">
        <v>5</v>
      </c>
      <c r="F13" s="13">
        <v>6</v>
      </c>
      <c r="G13" s="13">
        <v>7</v>
      </c>
      <c r="H13" s="13" t="s">
        <v>19</v>
      </c>
      <c r="I13" s="13">
        <v>9</v>
      </c>
      <c r="J13" s="13" t="s">
        <v>48</v>
      </c>
      <c r="K13" s="13">
        <v>11</v>
      </c>
      <c r="L13" s="13" t="s">
        <v>49</v>
      </c>
      <c r="M13" s="13">
        <v>13</v>
      </c>
      <c r="N13" s="13" t="s">
        <v>50</v>
      </c>
      <c r="O13" s="13" t="s">
        <v>51</v>
      </c>
      <c r="P13" s="13" t="s">
        <v>28</v>
      </c>
      <c r="Q13" s="13">
        <v>17</v>
      </c>
      <c r="R13" s="13">
        <v>18</v>
      </c>
      <c r="S13" s="13">
        <v>19</v>
      </c>
      <c r="T13" s="13" t="s">
        <v>52</v>
      </c>
      <c r="U13" s="14" t="s">
        <v>53</v>
      </c>
      <c r="V13" s="13" t="s">
        <v>54</v>
      </c>
      <c r="W13" s="13" t="s">
        <v>55</v>
      </c>
      <c r="X13" s="13" t="s">
        <v>56</v>
      </c>
      <c r="Y13" s="14" t="s">
        <v>57</v>
      </c>
      <c r="Z13" s="14" t="s">
        <v>58</v>
      </c>
      <c r="AA13" s="13" t="s">
        <v>59</v>
      </c>
      <c r="AB13" s="13">
        <v>28</v>
      </c>
      <c r="AC13" s="13" t="s">
        <v>60</v>
      </c>
      <c r="AD13" s="13" t="s">
        <v>61</v>
      </c>
      <c r="AE13" s="13" t="s">
        <v>62</v>
      </c>
    </row>
    <row r="14" spans="1:33" s="22" customFormat="1" ht="36.75" customHeight="1">
      <c r="A14" s="19" t="s">
        <v>18</v>
      </c>
      <c r="B14" s="20">
        <f>SUM(B15:B16)</f>
        <v>2</v>
      </c>
      <c r="C14" s="20" t="s">
        <v>0</v>
      </c>
      <c r="D14" s="20" t="s">
        <v>0</v>
      </c>
      <c r="E14" s="21">
        <f>SUM(E15:E16)</f>
        <v>12870</v>
      </c>
      <c r="F14" s="21">
        <f>SUM(F15:F16)</f>
        <v>600</v>
      </c>
      <c r="G14" s="20"/>
      <c r="H14" s="21">
        <f>SUM(H15:H16)</f>
        <v>0</v>
      </c>
      <c r="I14" s="21"/>
      <c r="J14" s="21">
        <f>SUM(J15:J16)</f>
        <v>0</v>
      </c>
      <c r="K14" s="20"/>
      <c r="L14" s="21">
        <f>SUM(L15:L16)</f>
        <v>0</v>
      </c>
      <c r="M14" s="20" t="s">
        <v>0</v>
      </c>
      <c r="N14" s="20" t="s">
        <v>0</v>
      </c>
      <c r="O14" s="20" t="s">
        <v>0</v>
      </c>
      <c r="P14" s="20" t="s">
        <v>0</v>
      </c>
      <c r="Q14" s="20" t="s">
        <v>0</v>
      </c>
      <c r="R14" s="21">
        <f>SUM(R15:R16)</f>
        <v>0</v>
      </c>
      <c r="S14" s="21">
        <f>SUM(S15:S16)</f>
        <v>0</v>
      </c>
      <c r="T14" s="21">
        <f>SUM(T15:T16)</f>
        <v>13470</v>
      </c>
      <c r="U14" s="20" t="s">
        <v>0</v>
      </c>
      <c r="V14" s="20" t="s">
        <v>0</v>
      </c>
      <c r="W14" s="21">
        <f>SUM(W15:W16)</f>
        <v>13470</v>
      </c>
      <c r="X14" s="20" t="s">
        <v>0</v>
      </c>
      <c r="Y14" s="20" t="s">
        <v>0</v>
      </c>
      <c r="Z14" s="20" t="s">
        <v>0</v>
      </c>
      <c r="AA14" s="21">
        <f>SUM(AA15:AA16)</f>
        <v>175110</v>
      </c>
      <c r="AB14" s="21">
        <f>SUM(AB15:AB16)</f>
        <v>0</v>
      </c>
      <c r="AC14" s="21">
        <f>SUM(AC15:AC16)</f>
        <v>40275.300000000003</v>
      </c>
      <c r="AD14" s="21">
        <f>SUM(AD15:AD16)</f>
        <v>6465.6</v>
      </c>
      <c r="AE14" s="21">
        <f>SUM(AE15:AE16)</f>
        <v>221850.90000000002</v>
      </c>
    </row>
    <row r="15" spans="1:33" s="7" customFormat="1">
      <c r="A15" s="17" t="s">
        <v>79</v>
      </c>
      <c r="B15" s="15">
        <v>1</v>
      </c>
      <c r="C15" s="15" t="s">
        <v>0</v>
      </c>
      <c r="D15" s="15" t="s">
        <v>0</v>
      </c>
      <c r="E15" s="16">
        <v>6600</v>
      </c>
      <c r="F15" s="16">
        <v>300</v>
      </c>
      <c r="G15" s="18"/>
      <c r="H15" s="16">
        <f t="shared" ref="H15:H16" si="0">E15*G15</f>
        <v>0</v>
      </c>
      <c r="I15" s="18"/>
      <c r="J15" s="16">
        <f t="shared" ref="J15:J16" si="1">E15*I15</f>
        <v>0</v>
      </c>
      <c r="K15" s="15"/>
      <c r="L15" s="16">
        <f>K15*4200</f>
        <v>0</v>
      </c>
      <c r="M15" s="15" t="s">
        <v>0</v>
      </c>
      <c r="N15" s="15" t="s">
        <v>0</v>
      </c>
      <c r="O15" s="15" t="s">
        <v>0</v>
      </c>
      <c r="P15" s="15" t="s">
        <v>0</v>
      </c>
      <c r="Q15" s="15" t="s">
        <v>0</v>
      </c>
      <c r="R15" s="15"/>
      <c r="S15" s="15"/>
      <c r="T15" s="16">
        <f t="shared" ref="T15:T16" si="2">E15+F15+H15+J15+L15+R15+S15</f>
        <v>6900</v>
      </c>
      <c r="U15" s="15" t="s">
        <v>0</v>
      </c>
      <c r="V15" s="15" t="s">
        <v>0</v>
      </c>
      <c r="W15" s="16">
        <f>T15</f>
        <v>6900</v>
      </c>
      <c r="X15" s="15" t="s">
        <v>0</v>
      </c>
      <c r="Y15" s="15" t="s">
        <v>0</v>
      </c>
      <c r="Z15" s="15" t="s">
        <v>0</v>
      </c>
      <c r="AA15" s="16">
        <f>T15*12+W15</f>
        <v>89700</v>
      </c>
      <c r="AB15" s="15"/>
      <c r="AC15" s="16">
        <f>(AA15-AB15)*23%</f>
        <v>20631</v>
      </c>
      <c r="AD15" s="16">
        <f>(AA15-W15)*4%</f>
        <v>3312</v>
      </c>
      <c r="AE15" s="16">
        <f>AA15+AC15+AD15</f>
        <v>113643</v>
      </c>
    </row>
    <row r="16" spans="1:33" s="7" customFormat="1" ht="18.75" customHeight="1">
      <c r="A16" s="17" t="s">
        <v>80</v>
      </c>
      <c r="B16" s="15">
        <v>1</v>
      </c>
      <c r="C16" s="15" t="s">
        <v>0</v>
      </c>
      <c r="D16" s="15" t="s">
        <v>0</v>
      </c>
      <c r="E16" s="16">
        <v>6270</v>
      </c>
      <c r="F16" s="16">
        <v>300</v>
      </c>
      <c r="G16" s="18"/>
      <c r="H16" s="16">
        <f t="shared" si="0"/>
        <v>0</v>
      </c>
      <c r="I16" s="18"/>
      <c r="J16" s="16">
        <f t="shared" si="1"/>
        <v>0</v>
      </c>
      <c r="K16" s="15"/>
      <c r="L16" s="16">
        <f t="shared" ref="L16" si="3">K16*4200</f>
        <v>0</v>
      </c>
      <c r="M16" s="15" t="s">
        <v>0</v>
      </c>
      <c r="N16" s="15" t="s">
        <v>0</v>
      </c>
      <c r="O16" s="15" t="s">
        <v>0</v>
      </c>
      <c r="P16" s="15" t="s">
        <v>0</v>
      </c>
      <c r="Q16" s="15" t="s">
        <v>0</v>
      </c>
      <c r="R16" s="15"/>
      <c r="S16" s="15"/>
      <c r="T16" s="16">
        <f t="shared" si="2"/>
        <v>6570</v>
      </c>
      <c r="U16" s="15" t="s">
        <v>0</v>
      </c>
      <c r="V16" s="15" t="s">
        <v>0</v>
      </c>
      <c r="W16" s="16">
        <f t="shared" ref="W16" si="4">T16</f>
        <v>6570</v>
      </c>
      <c r="X16" s="15" t="s">
        <v>0</v>
      </c>
      <c r="Y16" s="15" t="s">
        <v>0</v>
      </c>
      <c r="Z16" s="15" t="s">
        <v>0</v>
      </c>
      <c r="AA16" s="16">
        <f t="shared" ref="AA16" si="5">T16*12+W16</f>
        <v>85410</v>
      </c>
      <c r="AB16" s="15"/>
      <c r="AC16" s="16">
        <f t="shared" ref="AC16" si="6">(AA16-AB16)*23%</f>
        <v>19644.3</v>
      </c>
      <c r="AD16" s="16">
        <f t="shared" ref="AD16" si="7">(AA16-W16)*4%</f>
        <v>3153.6</v>
      </c>
      <c r="AE16" s="16">
        <f t="shared" ref="AE16" si="8">AA16+AC16+AD16</f>
        <v>108207.90000000001</v>
      </c>
    </row>
    <row r="17" spans="1:31" s="23" customFormat="1" ht="36" customHeight="1">
      <c r="A17" s="19" t="s">
        <v>13</v>
      </c>
      <c r="B17" s="20">
        <f>SUM(B18:B18)</f>
        <v>0</v>
      </c>
      <c r="C17" s="20" t="s">
        <v>0</v>
      </c>
      <c r="D17" s="20" t="s">
        <v>0</v>
      </c>
      <c r="E17" s="21">
        <f>SUM(E18:E18)</f>
        <v>0</v>
      </c>
      <c r="F17" s="20" t="s">
        <v>0</v>
      </c>
      <c r="G17" s="20" t="s">
        <v>0</v>
      </c>
      <c r="H17" s="20" t="s">
        <v>0</v>
      </c>
      <c r="I17" s="20"/>
      <c r="J17" s="20">
        <f>SUM(J18:J18)</f>
        <v>0</v>
      </c>
      <c r="K17" s="20"/>
      <c r="L17" s="20">
        <f>SUM(L18:L18)</f>
        <v>0</v>
      </c>
      <c r="M17" s="20" t="s">
        <v>0</v>
      </c>
      <c r="N17" s="20" t="s">
        <v>0</v>
      </c>
      <c r="O17" s="20" t="s">
        <v>0</v>
      </c>
      <c r="P17" s="20" t="s">
        <v>0</v>
      </c>
      <c r="Q17" s="20" t="s">
        <v>0</v>
      </c>
      <c r="R17" s="21">
        <f>SUM(R18:R18)</f>
        <v>0</v>
      </c>
      <c r="S17" s="21">
        <f>SUM(S18:S18)</f>
        <v>0</v>
      </c>
      <c r="T17" s="21">
        <f>SUM(T18:T18)</f>
        <v>0</v>
      </c>
      <c r="U17" s="20" t="s">
        <v>0</v>
      </c>
      <c r="V17" s="20" t="s">
        <v>0</v>
      </c>
      <c r="W17" s="20" t="s">
        <v>0</v>
      </c>
      <c r="X17" s="21">
        <f>SUM(X18:X18)</f>
        <v>0</v>
      </c>
      <c r="Y17" s="20" t="s">
        <v>0</v>
      </c>
      <c r="Z17" s="20" t="s">
        <v>0</v>
      </c>
      <c r="AA17" s="21">
        <f>SUM(AA18:AA18)</f>
        <v>0</v>
      </c>
      <c r="AB17" s="21">
        <f>SUM(AB18:AB18)</f>
        <v>0</v>
      </c>
      <c r="AC17" s="21">
        <f>SUM(AC18:AC18)</f>
        <v>0</v>
      </c>
      <c r="AD17" s="21">
        <f>SUM(AD18:AD18)</f>
        <v>0</v>
      </c>
      <c r="AE17" s="21">
        <f>SUM(AE18:AE18)</f>
        <v>0</v>
      </c>
    </row>
    <row r="18" spans="1:31" s="3" customFormat="1">
      <c r="A18" s="17" t="s">
        <v>11</v>
      </c>
      <c r="B18" s="15"/>
      <c r="C18" s="15" t="s">
        <v>0</v>
      </c>
      <c r="D18" s="15" t="s">
        <v>0</v>
      </c>
      <c r="E18" s="16"/>
      <c r="F18" s="15" t="s">
        <v>0</v>
      </c>
      <c r="G18" s="15" t="s">
        <v>0</v>
      </c>
      <c r="H18" s="15" t="s">
        <v>0</v>
      </c>
      <c r="I18" s="15"/>
      <c r="J18" s="15">
        <f t="shared" ref="J18" si="9">E18*I18</f>
        <v>0</v>
      </c>
      <c r="K18" s="15"/>
      <c r="L18" s="15">
        <f t="shared" ref="L18" si="10">K18*4200</f>
        <v>0</v>
      </c>
      <c r="M18" s="15" t="s">
        <v>0</v>
      </c>
      <c r="N18" s="15" t="s">
        <v>0</v>
      </c>
      <c r="O18" s="15" t="s">
        <v>0</v>
      </c>
      <c r="P18" s="15" t="s">
        <v>0</v>
      </c>
      <c r="Q18" s="15" t="s">
        <v>0</v>
      </c>
      <c r="R18" s="16"/>
      <c r="S18" s="16"/>
      <c r="T18" s="16">
        <f t="shared" ref="T18" si="11">E18+J18+L18+R18+S18</f>
        <v>0</v>
      </c>
      <c r="U18" s="15" t="s">
        <v>0</v>
      </c>
      <c r="V18" s="15" t="s">
        <v>0</v>
      </c>
      <c r="W18" s="15" t="s">
        <v>0</v>
      </c>
      <c r="X18" s="16">
        <f t="shared" ref="X18" si="12">E18</f>
        <v>0</v>
      </c>
      <c r="Y18" s="15" t="s">
        <v>0</v>
      </c>
      <c r="Z18" s="15" t="s">
        <v>0</v>
      </c>
      <c r="AA18" s="16">
        <f t="shared" ref="AA18" si="13">T18*12+X18</f>
        <v>0</v>
      </c>
      <c r="AB18" s="15"/>
      <c r="AC18" s="16">
        <f t="shared" ref="AC18" si="14">(AA18-AB18)*23%</f>
        <v>0</v>
      </c>
      <c r="AD18" s="16">
        <f t="shared" ref="AD18" si="15">(AA18-X18)*4%</f>
        <v>0</v>
      </c>
      <c r="AE18" s="16">
        <f t="shared" ref="AE18" si="16">AA18+AC18+AD18</f>
        <v>0</v>
      </c>
    </row>
    <row r="19" spans="1:31" s="23" customFormat="1">
      <c r="A19" s="19" t="s">
        <v>1</v>
      </c>
      <c r="B19" s="20">
        <f>SUM(B21:B42)</f>
        <v>20</v>
      </c>
      <c r="C19" s="20"/>
      <c r="D19" s="20"/>
      <c r="E19" s="21">
        <f>SUM(E21:E42)</f>
        <v>67850</v>
      </c>
      <c r="F19" s="21">
        <f>SUM(F21:F42)</f>
        <v>4200</v>
      </c>
      <c r="G19" s="20" t="s">
        <v>0</v>
      </c>
      <c r="H19" s="20" t="s">
        <v>0</v>
      </c>
      <c r="I19" s="20" t="s">
        <v>0</v>
      </c>
      <c r="J19" s="20" t="s">
        <v>0</v>
      </c>
      <c r="K19" s="20" t="s">
        <v>0</v>
      </c>
      <c r="L19" s="20" t="s">
        <v>0</v>
      </c>
      <c r="M19" s="20" t="s">
        <v>0</v>
      </c>
      <c r="N19" s="20" t="s">
        <v>0</v>
      </c>
      <c r="O19" s="20" t="s">
        <v>0</v>
      </c>
      <c r="P19" s="20" t="s">
        <v>0</v>
      </c>
      <c r="Q19" s="20" t="s">
        <v>0</v>
      </c>
      <c r="R19" s="21">
        <f>SUM(R21:R42)</f>
        <v>0</v>
      </c>
      <c r="S19" s="21">
        <f>SUM(S21:S42)</f>
        <v>0</v>
      </c>
      <c r="T19" s="21">
        <f>SUM(T21:T42)</f>
        <v>72050</v>
      </c>
      <c r="U19" s="20" t="s">
        <v>0</v>
      </c>
      <c r="V19" s="21">
        <f>SUM(V21:V42)</f>
        <v>81420</v>
      </c>
      <c r="W19" s="21">
        <f>SUM(W21:W42)</f>
        <v>78835</v>
      </c>
      <c r="X19" s="20" t="s">
        <v>0</v>
      </c>
      <c r="Y19" s="21">
        <f>SUM(Y21:Y42)</f>
        <v>6785</v>
      </c>
      <c r="Z19" s="20" t="s">
        <v>0</v>
      </c>
      <c r="AA19" s="21">
        <f>SUM(AA21:AA42)</f>
        <v>1031640</v>
      </c>
      <c r="AB19" s="21">
        <f>SUM(AB21:AB42)</f>
        <v>0</v>
      </c>
      <c r="AC19" s="21">
        <f>SUM(AC21:AC42)</f>
        <v>237277.20000000004</v>
      </c>
      <c r="AD19" s="21">
        <f>SUM(AD21:AD42)</f>
        <v>38112.199999999997</v>
      </c>
      <c r="AE19" s="21">
        <f>SUM(AE21:AE42)</f>
        <v>1307029.4000000001</v>
      </c>
    </row>
    <row r="20" spans="1:31" s="23" customFormat="1">
      <c r="A20" s="33" t="s">
        <v>81</v>
      </c>
      <c r="B20" s="20"/>
      <c r="C20" s="20"/>
      <c r="D20" s="20"/>
      <c r="E20" s="21"/>
      <c r="F20" s="21"/>
      <c r="G20" s="20"/>
      <c r="H20" s="20"/>
      <c r="I20" s="20"/>
      <c r="J20" s="20"/>
      <c r="K20" s="20"/>
      <c r="L20" s="20"/>
      <c r="M20" s="20"/>
      <c r="N20" s="20"/>
      <c r="O20" s="20"/>
      <c r="P20" s="20"/>
      <c r="Q20" s="20"/>
      <c r="R20" s="21"/>
      <c r="S20" s="21"/>
      <c r="T20" s="21"/>
      <c r="U20" s="20"/>
      <c r="V20" s="21"/>
      <c r="W20" s="21"/>
      <c r="X20" s="20"/>
      <c r="Y20" s="21"/>
      <c r="Z20" s="20"/>
      <c r="AA20" s="21"/>
      <c r="AB20" s="21"/>
      <c r="AC20" s="21"/>
      <c r="AD20" s="21"/>
      <c r="AE20" s="21"/>
    </row>
    <row r="21" spans="1:31" s="3" customFormat="1">
      <c r="A21" s="17" t="s">
        <v>84</v>
      </c>
      <c r="B21" s="15">
        <v>1</v>
      </c>
      <c r="C21" s="15" t="s">
        <v>100</v>
      </c>
      <c r="D21" s="15">
        <v>13</v>
      </c>
      <c r="E21" s="16">
        <v>5060</v>
      </c>
      <c r="F21" s="16">
        <v>300</v>
      </c>
      <c r="G21" s="15" t="s">
        <v>0</v>
      </c>
      <c r="H21" s="15" t="s">
        <v>0</v>
      </c>
      <c r="I21" s="15" t="s">
        <v>0</v>
      </c>
      <c r="J21" s="15" t="s">
        <v>0</v>
      </c>
      <c r="K21" s="15" t="s">
        <v>0</v>
      </c>
      <c r="L21" s="15" t="s">
        <v>0</v>
      </c>
      <c r="M21" s="15" t="s">
        <v>0</v>
      </c>
      <c r="N21" s="15" t="s">
        <v>0</v>
      </c>
      <c r="O21" s="15" t="s">
        <v>0</v>
      </c>
      <c r="P21" s="15" t="s">
        <v>0</v>
      </c>
      <c r="Q21" s="15" t="s">
        <v>0</v>
      </c>
      <c r="R21" s="16"/>
      <c r="S21" s="16"/>
      <c r="T21" s="16">
        <f t="shared" ref="T21:T30" si="17">E21+F21+R21+S21</f>
        <v>5360</v>
      </c>
      <c r="U21" s="15" t="s">
        <v>0</v>
      </c>
      <c r="V21" s="16">
        <f>E21*12*10%</f>
        <v>6072</v>
      </c>
      <c r="W21" s="16">
        <f>T21+V21/12</f>
        <v>5866</v>
      </c>
      <c r="X21" s="15" t="s">
        <v>0</v>
      </c>
      <c r="Y21" s="16">
        <f>V21/12</f>
        <v>506</v>
      </c>
      <c r="Z21" s="15" t="s">
        <v>0</v>
      </c>
      <c r="AA21" s="16">
        <f>T21*12+V21+W21+Y21</f>
        <v>76764</v>
      </c>
      <c r="AB21" s="15"/>
      <c r="AC21" s="16">
        <f>(AA21-AB21)*23%</f>
        <v>17655.72</v>
      </c>
      <c r="AD21" s="16">
        <f>(AA21-W21)*4%</f>
        <v>2835.92</v>
      </c>
      <c r="AE21" s="16">
        <f>AA21+AC21+AD21</f>
        <v>97255.64</v>
      </c>
    </row>
    <row r="22" spans="1:31" s="3" customFormat="1" ht="15.75">
      <c r="A22" s="32" t="s">
        <v>85</v>
      </c>
      <c r="B22" s="15">
        <v>1</v>
      </c>
      <c r="C22" s="15" t="s">
        <v>100</v>
      </c>
      <c r="D22" s="15">
        <v>12</v>
      </c>
      <c r="E22" s="16">
        <v>4840</v>
      </c>
      <c r="F22" s="16">
        <v>300</v>
      </c>
      <c r="G22" s="15" t="s">
        <v>0</v>
      </c>
      <c r="H22" s="15" t="s">
        <v>0</v>
      </c>
      <c r="I22" s="15" t="s">
        <v>0</v>
      </c>
      <c r="J22" s="15" t="s">
        <v>0</v>
      </c>
      <c r="K22" s="15" t="s">
        <v>0</v>
      </c>
      <c r="L22" s="15" t="s">
        <v>0</v>
      </c>
      <c r="M22" s="15" t="s">
        <v>0</v>
      </c>
      <c r="N22" s="15" t="s">
        <v>0</v>
      </c>
      <c r="O22" s="15" t="s">
        <v>0</v>
      </c>
      <c r="P22" s="15" t="s">
        <v>0</v>
      </c>
      <c r="Q22" s="15" t="s">
        <v>0</v>
      </c>
      <c r="R22" s="16"/>
      <c r="S22" s="16"/>
      <c r="T22" s="16">
        <f t="shared" si="17"/>
        <v>5140</v>
      </c>
      <c r="U22" s="15" t="s">
        <v>0</v>
      </c>
      <c r="V22" s="16">
        <f t="shared" ref="V22:V30" si="18">E22*12*10%</f>
        <v>5808</v>
      </c>
      <c r="W22" s="16">
        <f t="shared" ref="W22:W30" si="19">T22+V22/12</f>
        <v>5624</v>
      </c>
      <c r="X22" s="15" t="s">
        <v>0</v>
      </c>
      <c r="Y22" s="16">
        <f t="shared" ref="Y22:Y30" si="20">V22/12</f>
        <v>484</v>
      </c>
      <c r="Z22" s="15" t="s">
        <v>0</v>
      </c>
      <c r="AA22" s="16">
        <f t="shared" ref="AA22:AA30" si="21">T22*12+V22+W22+Y22</f>
        <v>73596</v>
      </c>
      <c r="AB22" s="15"/>
      <c r="AC22" s="16">
        <f t="shared" ref="AC22:AC30" si="22">(AA22-AB22)*23%</f>
        <v>16927.080000000002</v>
      </c>
      <c r="AD22" s="16">
        <f t="shared" ref="AD22:AD30" si="23">(AA22-W22)*4%</f>
        <v>2718.88</v>
      </c>
      <c r="AE22" s="16">
        <f t="shared" ref="AE22:AE30" si="24">AA22+AC22+AD22</f>
        <v>93241.96</v>
      </c>
    </row>
    <row r="23" spans="1:31" s="3" customFormat="1" ht="15.75">
      <c r="A23" s="34" t="s">
        <v>82</v>
      </c>
      <c r="B23" s="15"/>
      <c r="C23" s="15"/>
      <c r="D23" s="15"/>
      <c r="E23" s="16"/>
      <c r="F23" s="16"/>
      <c r="G23" s="15"/>
      <c r="H23" s="15"/>
      <c r="I23" s="15"/>
      <c r="J23" s="15"/>
      <c r="K23" s="15"/>
      <c r="L23" s="15"/>
      <c r="M23" s="15"/>
      <c r="N23" s="15"/>
      <c r="O23" s="15"/>
      <c r="P23" s="15"/>
      <c r="Q23" s="15"/>
      <c r="R23" s="16"/>
      <c r="S23" s="16"/>
      <c r="T23" s="16"/>
      <c r="U23" s="15"/>
      <c r="V23" s="16"/>
      <c r="W23" s="16"/>
      <c r="X23" s="15"/>
      <c r="Y23" s="16"/>
      <c r="Z23" s="15"/>
      <c r="AA23" s="16"/>
      <c r="AB23" s="15"/>
      <c r="AC23" s="16"/>
      <c r="AD23" s="16"/>
      <c r="AE23" s="16"/>
    </row>
    <row r="24" spans="1:31" s="3" customFormat="1" ht="15.75">
      <c r="A24" s="32" t="s">
        <v>83</v>
      </c>
      <c r="B24" s="15">
        <v>1</v>
      </c>
      <c r="C24" s="15" t="s">
        <v>100</v>
      </c>
      <c r="D24" s="15">
        <v>7</v>
      </c>
      <c r="E24" s="16">
        <v>3740</v>
      </c>
      <c r="F24" s="16">
        <v>200</v>
      </c>
      <c r="G24" s="15" t="s">
        <v>0</v>
      </c>
      <c r="H24" s="15" t="s">
        <v>0</v>
      </c>
      <c r="I24" s="15" t="s">
        <v>0</v>
      </c>
      <c r="J24" s="15" t="s">
        <v>0</v>
      </c>
      <c r="K24" s="15" t="s">
        <v>0</v>
      </c>
      <c r="L24" s="15" t="s">
        <v>0</v>
      </c>
      <c r="M24" s="15" t="s">
        <v>0</v>
      </c>
      <c r="N24" s="15" t="s">
        <v>0</v>
      </c>
      <c r="O24" s="15" t="s">
        <v>0</v>
      </c>
      <c r="P24" s="15" t="s">
        <v>0</v>
      </c>
      <c r="Q24" s="15" t="s">
        <v>0</v>
      </c>
      <c r="R24" s="16"/>
      <c r="S24" s="16"/>
      <c r="T24" s="16">
        <f t="shared" si="17"/>
        <v>3940</v>
      </c>
      <c r="U24" s="15" t="s">
        <v>0</v>
      </c>
      <c r="V24" s="16">
        <f t="shared" si="18"/>
        <v>4488</v>
      </c>
      <c r="W24" s="16">
        <f t="shared" si="19"/>
        <v>4314</v>
      </c>
      <c r="X24" s="15" t="s">
        <v>0</v>
      </c>
      <c r="Y24" s="16">
        <f t="shared" si="20"/>
        <v>374</v>
      </c>
      <c r="Z24" s="15" t="s">
        <v>0</v>
      </c>
      <c r="AA24" s="16">
        <f t="shared" si="21"/>
        <v>56456</v>
      </c>
      <c r="AB24" s="15"/>
      <c r="AC24" s="16">
        <f t="shared" si="22"/>
        <v>12984.880000000001</v>
      </c>
      <c r="AD24" s="16">
        <f t="shared" si="23"/>
        <v>2085.6799999999998</v>
      </c>
      <c r="AE24" s="16">
        <f t="shared" si="24"/>
        <v>71526.559999999998</v>
      </c>
    </row>
    <row r="25" spans="1:31" s="3" customFormat="1" ht="15.75">
      <c r="A25" s="32" t="s">
        <v>86</v>
      </c>
      <c r="B25" s="15">
        <v>2</v>
      </c>
      <c r="C25" s="15" t="s">
        <v>101</v>
      </c>
      <c r="D25" s="15">
        <v>4</v>
      </c>
      <c r="E25" s="16">
        <f>2940*B25</f>
        <v>5880</v>
      </c>
      <c r="F25" s="16">
        <f>200*B25</f>
        <v>400</v>
      </c>
      <c r="G25" s="15" t="s">
        <v>0</v>
      </c>
      <c r="H25" s="15" t="s">
        <v>0</v>
      </c>
      <c r="I25" s="15" t="s">
        <v>0</v>
      </c>
      <c r="J25" s="15" t="s">
        <v>0</v>
      </c>
      <c r="K25" s="15" t="s">
        <v>0</v>
      </c>
      <c r="L25" s="15" t="s">
        <v>0</v>
      </c>
      <c r="M25" s="15" t="s">
        <v>0</v>
      </c>
      <c r="N25" s="15" t="s">
        <v>0</v>
      </c>
      <c r="O25" s="15" t="s">
        <v>0</v>
      </c>
      <c r="P25" s="15" t="s">
        <v>0</v>
      </c>
      <c r="Q25" s="15" t="s">
        <v>0</v>
      </c>
      <c r="R25" s="16"/>
      <c r="S25" s="16"/>
      <c r="T25" s="16">
        <f>E25+F25+R25+S25</f>
        <v>6280</v>
      </c>
      <c r="U25" s="15" t="s">
        <v>0</v>
      </c>
      <c r="V25" s="16">
        <f t="shared" si="18"/>
        <v>7056</v>
      </c>
      <c r="W25" s="16">
        <f t="shared" si="19"/>
        <v>6868</v>
      </c>
      <c r="X25" s="15" t="s">
        <v>0</v>
      </c>
      <c r="Y25" s="16">
        <f t="shared" si="20"/>
        <v>588</v>
      </c>
      <c r="Z25" s="15" t="s">
        <v>0</v>
      </c>
      <c r="AA25" s="16">
        <f t="shared" si="21"/>
        <v>89872</v>
      </c>
      <c r="AB25" s="15"/>
      <c r="AC25" s="16">
        <f t="shared" si="22"/>
        <v>20670.560000000001</v>
      </c>
      <c r="AD25" s="16">
        <f t="shared" si="23"/>
        <v>3320.16</v>
      </c>
      <c r="AE25" s="16">
        <f t="shared" si="24"/>
        <v>113862.72</v>
      </c>
    </row>
    <row r="26" spans="1:31" s="3" customFormat="1" ht="15.75">
      <c r="A26" s="34" t="s">
        <v>87</v>
      </c>
      <c r="B26" s="15"/>
      <c r="C26" s="15"/>
      <c r="D26" s="15"/>
      <c r="E26" s="16"/>
      <c r="F26" s="16"/>
      <c r="G26" s="15"/>
      <c r="H26" s="15"/>
      <c r="I26" s="15"/>
      <c r="J26" s="15"/>
      <c r="K26" s="15"/>
      <c r="L26" s="15"/>
      <c r="M26" s="15"/>
      <c r="N26" s="15"/>
      <c r="O26" s="15"/>
      <c r="P26" s="15"/>
      <c r="Q26" s="15"/>
      <c r="R26" s="16"/>
      <c r="S26" s="16"/>
      <c r="T26" s="16"/>
      <c r="U26" s="15"/>
      <c r="V26" s="16"/>
      <c r="W26" s="16"/>
      <c r="X26" s="15"/>
      <c r="Y26" s="16"/>
      <c r="Z26" s="15"/>
      <c r="AA26" s="16"/>
      <c r="AB26" s="15"/>
      <c r="AC26" s="16"/>
      <c r="AD26" s="16"/>
      <c r="AE26" s="16"/>
    </row>
    <row r="27" spans="1:31" s="3" customFormat="1" ht="15.75">
      <c r="A27" s="32" t="s">
        <v>83</v>
      </c>
      <c r="B27" s="15">
        <v>1</v>
      </c>
      <c r="C27" s="15" t="s">
        <v>100</v>
      </c>
      <c r="D27" s="15">
        <v>7</v>
      </c>
      <c r="E27" s="16">
        <v>3740</v>
      </c>
      <c r="F27" s="16">
        <v>200</v>
      </c>
      <c r="G27" s="15" t="s">
        <v>0</v>
      </c>
      <c r="H27" s="15" t="s">
        <v>0</v>
      </c>
      <c r="I27" s="15" t="s">
        <v>0</v>
      </c>
      <c r="J27" s="15" t="s">
        <v>0</v>
      </c>
      <c r="K27" s="15" t="s">
        <v>0</v>
      </c>
      <c r="L27" s="15" t="s">
        <v>0</v>
      </c>
      <c r="M27" s="15" t="s">
        <v>0</v>
      </c>
      <c r="N27" s="15" t="s">
        <v>0</v>
      </c>
      <c r="O27" s="15" t="s">
        <v>0</v>
      </c>
      <c r="P27" s="15" t="s">
        <v>0</v>
      </c>
      <c r="Q27" s="15" t="s">
        <v>0</v>
      </c>
      <c r="R27" s="16"/>
      <c r="S27" s="16"/>
      <c r="T27" s="16">
        <f t="shared" si="17"/>
        <v>3940</v>
      </c>
      <c r="U27" s="15" t="s">
        <v>0</v>
      </c>
      <c r="V27" s="16">
        <f t="shared" si="18"/>
        <v>4488</v>
      </c>
      <c r="W27" s="16">
        <f t="shared" si="19"/>
        <v>4314</v>
      </c>
      <c r="X27" s="15" t="s">
        <v>0</v>
      </c>
      <c r="Y27" s="16">
        <f t="shared" si="20"/>
        <v>374</v>
      </c>
      <c r="Z27" s="15" t="s">
        <v>0</v>
      </c>
      <c r="AA27" s="16">
        <f t="shared" si="21"/>
        <v>56456</v>
      </c>
      <c r="AB27" s="15"/>
      <c r="AC27" s="16">
        <f t="shared" si="22"/>
        <v>12984.880000000001</v>
      </c>
      <c r="AD27" s="16">
        <f t="shared" si="23"/>
        <v>2085.6799999999998</v>
      </c>
      <c r="AE27" s="16">
        <f t="shared" si="24"/>
        <v>71526.559999999998</v>
      </c>
    </row>
    <row r="28" spans="1:31" s="3" customFormat="1" ht="15.75">
      <c r="A28" s="32" t="s">
        <v>86</v>
      </c>
      <c r="B28" s="15">
        <v>2</v>
      </c>
      <c r="C28" s="15" t="s">
        <v>101</v>
      </c>
      <c r="D28" s="15">
        <v>4</v>
      </c>
      <c r="E28" s="16">
        <f>2940*B28</f>
        <v>5880</v>
      </c>
      <c r="F28" s="16">
        <f>200*B28</f>
        <v>400</v>
      </c>
      <c r="G28" s="15" t="s">
        <v>0</v>
      </c>
      <c r="H28" s="15" t="s">
        <v>0</v>
      </c>
      <c r="I28" s="15" t="s">
        <v>0</v>
      </c>
      <c r="J28" s="15" t="s">
        <v>0</v>
      </c>
      <c r="K28" s="15" t="s">
        <v>0</v>
      </c>
      <c r="L28" s="15" t="s">
        <v>0</v>
      </c>
      <c r="M28" s="15" t="s">
        <v>0</v>
      </c>
      <c r="N28" s="15" t="s">
        <v>0</v>
      </c>
      <c r="O28" s="15" t="s">
        <v>0</v>
      </c>
      <c r="P28" s="15" t="s">
        <v>0</v>
      </c>
      <c r="Q28" s="15" t="s">
        <v>0</v>
      </c>
      <c r="R28" s="16"/>
      <c r="S28" s="16"/>
      <c r="T28" s="16">
        <f t="shared" si="17"/>
        <v>6280</v>
      </c>
      <c r="U28" s="15" t="s">
        <v>0</v>
      </c>
      <c r="V28" s="16">
        <f t="shared" si="18"/>
        <v>7056</v>
      </c>
      <c r="W28" s="16">
        <f t="shared" si="19"/>
        <v>6868</v>
      </c>
      <c r="X28" s="15" t="s">
        <v>0</v>
      </c>
      <c r="Y28" s="16">
        <f t="shared" si="20"/>
        <v>588</v>
      </c>
      <c r="Z28" s="15" t="s">
        <v>0</v>
      </c>
      <c r="AA28" s="16">
        <f t="shared" si="21"/>
        <v>89872</v>
      </c>
      <c r="AB28" s="15"/>
      <c r="AC28" s="16">
        <f t="shared" si="22"/>
        <v>20670.560000000001</v>
      </c>
      <c r="AD28" s="16">
        <f t="shared" si="23"/>
        <v>3320.16</v>
      </c>
      <c r="AE28" s="16">
        <f t="shared" si="24"/>
        <v>113862.72</v>
      </c>
    </row>
    <row r="29" spans="1:31" s="3" customFormat="1" ht="15.75">
      <c r="A29" s="34" t="s">
        <v>91</v>
      </c>
      <c r="B29" s="15"/>
      <c r="C29" s="15"/>
      <c r="D29" s="15"/>
      <c r="E29" s="16"/>
      <c r="F29" s="16"/>
      <c r="G29" s="15" t="s">
        <v>0</v>
      </c>
      <c r="H29" s="15" t="s">
        <v>0</v>
      </c>
      <c r="I29" s="15" t="s">
        <v>0</v>
      </c>
      <c r="J29" s="15" t="s">
        <v>0</v>
      </c>
      <c r="K29" s="15" t="s">
        <v>0</v>
      </c>
      <c r="L29" s="15" t="s">
        <v>0</v>
      </c>
      <c r="M29" s="15" t="s">
        <v>0</v>
      </c>
      <c r="N29" s="15" t="s">
        <v>0</v>
      </c>
      <c r="O29" s="15" t="s">
        <v>0</v>
      </c>
      <c r="P29" s="15" t="s">
        <v>0</v>
      </c>
      <c r="Q29" s="15" t="s">
        <v>0</v>
      </c>
      <c r="R29" s="16"/>
      <c r="S29" s="16"/>
      <c r="T29" s="16">
        <f t="shared" si="17"/>
        <v>0</v>
      </c>
      <c r="U29" s="15" t="s">
        <v>0</v>
      </c>
      <c r="V29" s="16">
        <f t="shared" si="18"/>
        <v>0</v>
      </c>
      <c r="W29" s="16">
        <f t="shared" si="19"/>
        <v>0</v>
      </c>
      <c r="X29" s="15" t="s">
        <v>0</v>
      </c>
      <c r="Y29" s="16">
        <f t="shared" si="20"/>
        <v>0</v>
      </c>
      <c r="Z29" s="15" t="s">
        <v>0</v>
      </c>
      <c r="AA29" s="16">
        <f t="shared" si="21"/>
        <v>0</v>
      </c>
      <c r="AB29" s="15"/>
      <c r="AC29" s="16">
        <f t="shared" si="22"/>
        <v>0</v>
      </c>
      <c r="AD29" s="16">
        <f t="shared" si="23"/>
        <v>0</v>
      </c>
      <c r="AE29" s="16">
        <f t="shared" si="24"/>
        <v>0</v>
      </c>
    </row>
    <row r="30" spans="1:31" s="3" customFormat="1" ht="15.75">
      <c r="A30" s="32" t="s">
        <v>83</v>
      </c>
      <c r="B30" s="15">
        <v>1</v>
      </c>
      <c r="C30" s="15" t="s">
        <v>100</v>
      </c>
      <c r="D30" s="15">
        <v>7</v>
      </c>
      <c r="E30" s="16">
        <v>3740</v>
      </c>
      <c r="F30" s="16">
        <v>200</v>
      </c>
      <c r="G30" s="15" t="s">
        <v>0</v>
      </c>
      <c r="H30" s="15" t="s">
        <v>0</v>
      </c>
      <c r="I30" s="15" t="s">
        <v>0</v>
      </c>
      <c r="J30" s="15" t="s">
        <v>0</v>
      </c>
      <c r="K30" s="15" t="s">
        <v>0</v>
      </c>
      <c r="L30" s="15" t="s">
        <v>0</v>
      </c>
      <c r="M30" s="15" t="s">
        <v>0</v>
      </c>
      <c r="N30" s="15" t="s">
        <v>0</v>
      </c>
      <c r="O30" s="15" t="s">
        <v>0</v>
      </c>
      <c r="P30" s="15" t="s">
        <v>0</v>
      </c>
      <c r="Q30" s="15" t="s">
        <v>0</v>
      </c>
      <c r="R30" s="16"/>
      <c r="S30" s="16"/>
      <c r="T30" s="16">
        <f t="shared" si="17"/>
        <v>3940</v>
      </c>
      <c r="U30" s="15" t="s">
        <v>0</v>
      </c>
      <c r="V30" s="16">
        <f t="shared" si="18"/>
        <v>4488</v>
      </c>
      <c r="W30" s="16">
        <f t="shared" si="19"/>
        <v>4314</v>
      </c>
      <c r="X30" s="15" t="s">
        <v>0</v>
      </c>
      <c r="Y30" s="16">
        <f t="shared" si="20"/>
        <v>374</v>
      </c>
      <c r="Z30" s="15" t="s">
        <v>0</v>
      </c>
      <c r="AA30" s="16">
        <f t="shared" si="21"/>
        <v>56456</v>
      </c>
      <c r="AB30" s="15"/>
      <c r="AC30" s="16">
        <f t="shared" si="22"/>
        <v>12984.880000000001</v>
      </c>
      <c r="AD30" s="16">
        <f t="shared" si="23"/>
        <v>2085.6799999999998</v>
      </c>
      <c r="AE30" s="16">
        <f t="shared" si="24"/>
        <v>71526.559999999998</v>
      </c>
    </row>
    <row r="31" spans="1:31" s="3" customFormat="1" ht="15.75">
      <c r="A31" s="32" t="s">
        <v>92</v>
      </c>
      <c r="B31" s="15">
        <v>1</v>
      </c>
      <c r="C31" s="15" t="s">
        <v>100</v>
      </c>
      <c r="D31" s="15">
        <v>6</v>
      </c>
      <c r="E31" s="16">
        <v>3360</v>
      </c>
      <c r="F31" s="16">
        <v>200</v>
      </c>
      <c r="G31" s="15" t="s">
        <v>0</v>
      </c>
      <c r="H31" s="15" t="s">
        <v>0</v>
      </c>
      <c r="I31" s="15" t="s">
        <v>0</v>
      </c>
      <c r="J31" s="15" t="s">
        <v>0</v>
      </c>
      <c r="K31" s="15" t="s">
        <v>0</v>
      </c>
      <c r="L31" s="15" t="s">
        <v>0</v>
      </c>
      <c r="M31" s="15" t="s">
        <v>0</v>
      </c>
      <c r="N31" s="15" t="s">
        <v>0</v>
      </c>
      <c r="O31" s="15" t="s">
        <v>0</v>
      </c>
      <c r="P31" s="15" t="s">
        <v>0</v>
      </c>
      <c r="Q31" s="15" t="s">
        <v>0</v>
      </c>
      <c r="R31" s="16"/>
      <c r="S31" s="16"/>
      <c r="T31" s="16">
        <f t="shared" ref="T31:T35" si="25">E31+F31+R31+S31</f>
        <v>3560</v>
      </c>
      <c r="U31" s="15" t="s">
        <v>0</v>
      </c>
      <c r="V31" s="16">
        <f t="shared" ref="V31:V35" si="26">E31*12*10%</f>
        <v>4032</v>
      </c>
      <c r="W31" s="16">
        <f t="shared" ref="W31:W35" si="27">T31+V31/12</f>
        <v>3896</v>
      </c>
      <c r="X31" s="15" t="s">
        <v>0</v>
      </c>
      <c r="Y31" s="16">
        <f t="shared" ref="Y31:Y35" si="28">V31/12</f>
        <v>336</v>
      </c>
      <c r="Z31" s="15" t="s">
        <v>0</v>
      </c>
      <c r="AA31" s="16">
        <f t="shared" ref="AA31:AA35" si="29">T31*12+V31+W31+Y31</f>
        <v>50984</v>
      </c>
      <c r="AB31" s="15"/>
      <c r="AC31" s="16">
        <f t="shared" ref="AC31:AC35" si="30">(AA31-AB31)*23%</f>
        <v>11726.32</v>
      </c>
      <c r="AD31" s="16">
        <f t="shared" ref="AD31:AD35" si="31">(AA31-W31)*4%</f>
        <v>1883.52</v>
      </c>
      <c r="AE31" s="16">
        <f t="shared" ref="AE31:AE35" si="32">AA31+AC31+AD31</f>
        <v>64593.84</v>
      </c>
    </row>
    <row r="32" spans="1:31" s="3" customFormat="1" ht="15.75">
      <c r="A32" s="35" t="s">
        <v>93</v>
      </c>
      <c r="B32" s="15"/>
      <c r="C32" s="15"/>
      <c r="D32" s="15"/>
      <c r="E32" s="16"/>
      <c r="F32" s="16"/>
      <c r="G32" s="15" t="s">
        <v>0</v>
      </c>
      <c r="H32" s="15" t="s">
        <v>0</v>
      </c>
      <c r="I32" s="15" t="s">
        <v>0</v>
      </c>
      <c r="J32" s="15" t="s">
        <v>0</v>
      </c>
      <c r="K32" s="15" t="s">
        <v>0</v>
      </c>
      <c r="L32" s="15" t="s">
        <v>0</v>
      </c>
      <c r="M32" s="15" t="s">
        <v>0</v>
      </c>
      <c r="N32" s="15" t="s">
        <v>0</v>
      </c>
      <c r="O32" s="15" t="s">
        <v>0</v>
      </c>
      <c r="P32" s="15" t="s">
        <v>0</v>
      </c>
      <c r="Q32" s="15" t="s">
        <v>0</v>
      </c>
      <c r="R32" s="16"/>
      <c r="S32" s="16"/>
      <c r="T32" s="16">
        <f t="shared" si="25"/>
        <v>0</v>
      </c>
      <c r="U32" s="15" t="s">
        <v>0</v>
      </c>
      <c r="V32" s="16">
        <f t="shared" si="26"/>
        <v>0</v>
      </c>
      <c r="W32" s="16">
        <f t="shared" si="27"/>
        <v>0</v>
      </c>
      <c r="X32" s="15" t="s">
        <v>0</v>
      </c>
      <c r="Y32" s="16">
        <f t="shared" si="28"/>
        <v>0</v>
      </c>
      <c r="Z32" s="15" t="s">
        <v>0</v>
      </c>
      <c r="AA32" s="16">
        <f t="shared" si="29"/>
        <v>0</v>
      </c>
      <c r="AB32" s="15"/>
      <c r="AC32" s="16">
        <f t="shared" si="30"/>
        <v>0</v>
      </c>
      <c r="AD32" s="16">
        <f t="shared" si="31"/>
        <v>0</v>
      </c>
      <c r="AE32" s="16">
        <f t="shared" si="32"/>
        <v>0</v>
      </c>
    </row>
    <row r="33" spans="1:31" s="3" customFormat="1" ht="15.75">
      <c r="A33" s="32" t="s">
        <v>94</v>
      </c>
      <c r="B33" s="15">
        <v>1</v>
      </c>
      <c r="C33" s="15" t="s">
        <v>100</v>
      </c>
      <c r="D33" s="15">
        <v>9</v>
      </c>
      <c r="E33" s="16">
        <v>4180</v>
      </c>
      <c r="F33" s="16">
        <v>200</v>
      </c>
      <c r="G33" s="15" t="s">
        <v>0</v>
      </c>
      <c r="H33" s="15" t="s">
        <v>0</v>
      </c>
      <c r="I33" s="15" t="s">
        <v>0</v>
      </c>
      <c r="J33" s="15" t="s">
        <v>0</v>
      </c>
      <c r="K33" s="15" t="s">
        <v>0</v>
      </c>
      <c r="L33" s="15" t="s">
        <v>0</v>
      </c>
      <c r="M33" s="15" t="s">
        <v>0</v>
      </c>
      <c r="N33" s="15" t="s">
        <v>0</v>
      </c>
      <c r="O33" s="15" t="s">
        <v>0</v>
      </c>
      <c r="P33" s="15" t="s">
        <v>0</v>
      </c>
      <c r="Q33" s="15" t="s">
        <v>0</v>
      </c>
      <c r="R33" s="16"/>
      <c r="S33" s="16"/>
      <c r="T33" s="16">
        <f t="shared" si="25"/>
        <v>4380</v>
      </c>
      <c r="U33" s="15" t="s">
        <v>0</v>
      </c>
      <c r="V33" s="16">
        <f t="shared" si="26"/>
        <v>5016</v>
      </c>
      <c r="W33" s="16">
        <f t="shared" si="27"/>
        <v>4798</v>
      </c>
      <c r="X33" s="15" t="s">
        <v>0</v>
      </c>
      <c r="Y33" s="16">
        <f t="shared" si="28"/>
        <v>418</v>
      </c>
      <c r="Z33" s="15" t="s">
        <v>0</v>
      </c>
      <c r="AA33" s="16">
        <f t="shared" si="29"/>
        <v>62792</v>
      </c>
      <c r="AB33" s="15"/>
      <c r="AC33" s="16">
        <f t="shared" si="30"/>
        <v>14442.16</v>
      </c>
      <c r="AD33" s="16">
        <f t="shared" si="31"/>
        <v>2319.7600000000002</v>
      </c>
      <c r="AE33" s="16">
        <f t="shared" si="32"/>
        <v>79553.919999999998</v>
      </c>
    </row>
    <row r="34" spans="1:31" s="3" customFormat="1" ht="15.75">
      <c r="A34" s="32" t="s">
        <v>95</v>
      </c>
      <c r="B34" s="15">
        <v>2</v>
      </c>
      <c r="C34" s="15" t="s">
        <v>101</v>
      </c>
      <c r="D34" s="15">
        <v>4</v>
      </c>
      <c r="E34" s="16">
        <f>2940*B34</f>
        <v>5880</v>
      </c>
      <c r="F34" s="16">
        <f>200*B34</f>
        <v>400</v>
      </c>
      <c r="G34" s="15" t="s">
        <v>0</v>
      </c>
      <c r="H34" s="15" t="s">
        <v>0</v>
      </c>
      <c r="I34" s="15" t="s">
        <v>0</v>
      </c>
      <c r="J34" s="15" t="s">
        <v>0</v>
      </c>
      <c r="K34" s="15" t="s">
        <v>0</v>
      </c>
      <c r="L34" s="15" t="s">
        <v>0</v>
      </c>
      <c r="M34" s="15" t="s">
        <v>0</v>
      </c>
      <c r="N34" s="15" t="s">
        <v>0</v>
      </c>
      <c r="O34" s="15" t="s">
        <v>0</v>
      </c>
      <c r="P34" s="15" t="s">
        <v>0</v>
      </c>
      <c r="Q34" s="15" t="s">
        <v>0</v>
      </c>
      <c r="R34" s="16"/>
      <c r="S34" s="16"/>
      <c r="T34" s="16">
        <f>E34+F34+R34+S34</f>
        <v>6280</v>
      </c>
      <c r="U34" s="15" t="s">
        <v>0</v>
      </c>
      <c r="V34" s="16">
        <f t="shared" si="26"/>
        <v>7056</v>
      </c>
      <c r="W34" s="16">
        <f t="shared" si="27"/>
        <v>6868</v>
      </c>
      <c r="X34" s="15" t="s">
        <v>0</v>
      </c>
      <c r="Y34" s="16">
        <f t="shared" si="28"/>
        <v>588</v>
      </c>
      <c r="Z34" s="15" t="s">
        <v>0</v>
      </c>
      <c r="AA34" s="16">
        <f t="shared" si="29"/>
        <v>89872</v>
      </c>
      <c r="AB34" s="15"/>
      <c r="AC34" s="16">
        <f t="shared" si="30"/>
        <v>20670.560000000001</v>
      </c>
      <c r="AD34" s="16">
        <f t="shared" si="31"/>
        <v>3320.16</v>
      </c>
      <c r="AE34" s="16">
        <f t="shared" si="32"/>
        <v>113862.72</v>
      </c>
    </row>
    <row r="35" spans="1:31" s="3" customFormat="1" ht="15.75">
      <c r="A35" s="32" t="s">
        <v>96</v>
      </c>
      <c r="B35" s="15">
        <v>1</v>
      </c>
      <c r="C35" s="15" t="s">
        <v>101</v>
      </c>
      <c r="D35" s="15">
        <v>3</v>
      </c>
      <c r="E35" s="16">
        <v>2730</v>
      </c>
      <c r="F35" s="16">
        <v>200</v>
      </c>
      <c r="G35" s="15" t="s">
        <v>0</v>
      </c>
      <c r="H35" s="15" t="s">
        <v>0</v>
      </c>
      <c r="I35" s="15" t="s">
        <v>0</v>
      </c>
      <c r="J35" s="15" t="s">
        <v>0</v>
      </c>
      <c r="K35" s="15" t="s">
        <v>0</v>
      </c>
      <c r="L35" s="15" t="s">
        <v>0</v>
      </c>
      <c r="M35" s="15" t="s">
        <v>0</v>
      </c>
      <c r="N35" s="15" t="s">
        <v>0</v>
      </c>
      <c r="O35" s="15" t="s">
        <v>0</v>
      </c>
      <c r="P35" s="15" t="s">
        <v>0</v>
      </c>
      <c r="Q35" s="15" t="s">
        <v>0</v>
      </c>
      <c r="R35" s="16"/>
      <c r="S35" s="16"/>
      <c r="T35" s="16">
        <f t="shared" si="25"/>
        <v>2930</v>
      </c>
      <c r="U35" s="15" t="s">
        <v>0</v>
      </c>
      <c r="V35" s="16">
        <f t="shared" si="26"/>
        <v>3276</v>
      </c>
      <c r="W35" s="16">
        <f t="shared" si="27"/>
        <v>3203</v>
      </c>
      <c r="X35" s="15" t="s">
        <v>0</v>
      </c>
      <c r="Y35" s="16">
        <f t="shared" si="28"/>
        <v>273</v>
      </c>
      <c r="Z35" s="15" t="s">
        <v>0</v>
      </c>
      <c r="AA35" s="16">
        <f t="shared" si="29"/>
        <v>41912</v>
      </c>
      <c r="AB35" s="15"/>
      <c r="AC35" s="16">
        <f t="shared" si="30"/>
        <v>9639.76</v>
      </c>
      <c r="AD35" s="16">
        <f t="shared" si="31"/>
        <v>1548.3600000000001</v>
      </c>
      <c r="AE35" s="16">
        <f t="shared" si="32"/>
        <v>53100.12</v>
      </c>
    </row>
    <row r="36" spans="1:31" s="3" customFormat="1" ht="15.75">
      <c r="A36" s="35" t="s">
        <v>97</v>
      </c>
      <c r="B36" s="15"/>
      <c r="C36" s="15"/>
      <c r="D36" s="15"/>
      <c r="E36" s="16"/>
      <c r="F36" s="16"/>
      <c r="G36" s="15" t="s">
        <v>0</v>
      </c>
      <c r="H36" s="15" t="s">
        <v>0</v>
      </c>
      <c r="I36" s="15" t="s">
        <v>0</v>
      </c>
      <c r="J36" s="15" t="s">
        <v>0</v>
      </c>
      <c r="K36" s="15" t="s">
        <v>0</v>
      </c>
      <c r="L36" s="15" t="s">
        <v>0</v>
      </c>
      <c r="M36" s="15" t="s">
        <v>0</v>
      </c>
      <c r="N36" s="15" t="s">
        <v>0</v>
      </c>
      <c r="O36" s="15" t="s">
        <v>0</v>
      </c>
      <c r="P36" s="15" t="s">
        <v>0</v>
      </c>
      <c r="Q36" s="15" t="s">
        <v>0</v>
      </c>
      <c r="R36" s="16"/>
      <c r="S36" s="16"/>
      <c r="T36" s="16">
        <f t="shared" ref="T36:T37" si="33">E36+F36+R36+S36</f>
        <v>0</v>
      </c>
      <c r="U36" s="15" t="s">
        <v>0</v>
      </c>
      <c r="V36" s="16">
        <f t="shared" ref="V36:V37" si="34">E36*12*10%</f>
        <v>0</v>
      </c>
      <c r="W36" s="16">
        <f t="shared" ref="W36:W37" si="35">T36+V36/12</f>
        <v>0</v>
      </c>
      <c r="X36" s="15" t="s">
        <v>0</v>
      </c>
      <c r="Y36" s="16">
        <f t="shared" ref="Y36:Y37" si="36">V36/12</f>
        <v>0</v>
      </c>
      <c r="Z36" s="15" t="s">
        <v>0</v>
      </c>
      <c r="AA36" s="16">
        <f t="shared" ref="AA36:AA37" si="37">T36*12+V36+W36+Y36</f>
        <v>0</v>
      </c>
      <c r="AB36" s="15"/>
      <c r="AC36" s="16">
        <f t="shared" ref="AC36:AC37" si="38">(AA36-AB36)*23%</f>
        <v>0</v>
      </c>
      <c r="AD36" s="16">
        <f t="shared" ref="AD36:AD37" si="39">(AA36-W36)*4%</f>
        <v>0</v>
      </c>
      <c r="AE36" s="16">
        <f t="shared" ref="AE36:AE37" si="40">AA36+AC36+AD36</f>
        <v>0</v>
      </c>
    </row>
    <row r="37" spans="1:31" s="3" customFormat="1" ht="15.75">
      <c r="A37" s="32" t="s">
        <v>83</v>
      </c>
      <c r="B37" s="15">
        <v>1</v>
      </c>
      <c r="C37" s="15" t="s">
        <v>100</v>
      </c>
      <c r="D37" s="15">
        <v>7</v>
      </c>
      <c r="E37" s="16">
        <v>3740</v>
      </c>
      <c r="F37" s="16">
        <v>200</v>
      </c>
      <c r="G37" s="15" t="s">
        <v>0</v>
      </c>
      <c r="H37" s="15" t="s">
        <v>0</v>
      </c>
      <c r="I37" s="15" t="s">
        <v>0</v>
      </c>
      <c r="J37" s="15" t="s">
        <v>0</v>
      </c>
      <c r="K37" s="15" t="s">
        <v>0</v>
      </c>
      <c r="L37" s="15" t="s">
        <v>0</v>
      </c>
      <c r="M37" s="15" t="s">
        <v>0</v>
      </c>
      <c r="N37" s="15" t="s">
        <v>0</v>
      </c>
      <c r="O37" s="15" t="s">
        <v>0</v>
      </c>
      <c r="P37" s="15" t="s">
        <v>0</v>
      </c>
      <c r="Q37" s="15" t="s">
        <v>0</v>
      </c>
      <c r="R37" s="16"/>
      <c r="S37" s="16"/>
      <c r="T37" s="16">
        <f t="shared" si="33"/>
        <v>3940</v>
      </c>
      <c r="U37" s="15" t="s">
        <v>0</v>
      </c>
      <c r="V37" s="16">
        <f t="shared" si="34"/>
        <v>4488</v>
      </c>
      <c r="W37" s="16">
        <f t="shared" si="35"/>
        <v>4314</v>
      </c>
      <c r="X37" s="15" t="s">
        <v>0</v>
      </c>
      <c r="Y37" s="16">
        <f t="shared" si="36"/>
        <v>374</v>
      </c>
      <c r="Z37" s="15" t="s">
        <v>0</v>
      </c>
      <c r="AA37" s="16">
        <f t="shared" si="37"/>
        <v>56456</v>
      </c>
      <c r="AB37" s="15"/>
      <c r="AC37" s="16">
        <f t="shared" si="38"/>
        <v>12984.880000000001</v>
      </c>
      <c r="AD37" s="16">
        <f t="shared" si="39"/>
        <v>2085.6799999999998</v>
      </c>
      <c r="AE37" s="16">
        <f t="shared" si="40"/>
        <v>71526.559999999998</v>
      </c>
    </row>
    <row r="38" spans="1:31" s="3" customFormat="1" ht="15.75">
      <c r="A38" s="32" t="s">
        <v>96</v>
      </c>
      <c r="B38" s="15">
        <v>1</v>
      </c>
      <c r="C38" s="15" t="s">
        <v>101</v>
      </c>
      <c r="D38" s="15">
        <v>3</v>
      </c>
      <c r="E38" s="16">
        <v>2730</v>
      </c>
      <c r="F38" s="16">
        <v>200</v>
      </c>
      <c r="G38" s="15" t="s">
        <v>0</v>
      </c>
      <c r="H38" s="15" t="s">
        <v>0</v>
      </c>
      <c r="I38" s="15" t="s">
        <v>0</v>
      </c>
      <c r="J38" s="15" t="s">
        <v>0</v>
      </c>
      <c r="K38" s="15" t="s">
        <v>0</v>
      </c>
      <c r="L38" s="15" t="s">
        <v>0</v>
      </c>
      <c r="M38" s="15" t="s">
        <v>0</v>
      </c>
      <c r="N38" s="15" t="s">
        <v>0</v>
      </c>
      <c r="O38" s="15" t="s">
        <v>0</v>
      </c>
      <c r="P38" s="15" t="s">
        <v>0</v>
      </c>
      <c r="Q38" s="15" t="s">
        <v>0</v>
      </c>
      <c r="R38" s="16"/>
      <c r="S38" s="16"/>
      <c r="T38" s="16">
        <f t="shared" ref="T38:T41" si="41">E38+F38+R38+S38</f>
        <v>2930</v>
      </c>
      <c r="U38" s="15" t="s">
        <v>0</v>
      </c>
      <c r="V38" s="16">
        <f t="shared" ref="V38:V41" si="42">E38*12*10%</f>
        <v>3276</v>
      </c>
      <c r="W38" s="16">
        <f t="shared" ref="W38:W41" si="43">T38+V38/12</f>
        <v>3203</v>
      </c>
      <c r="X38" s="15" t="s">
        <v>0</v>
      </c>
      <c r="Y38" s="16">
        <f t="shared" ref="Y38:Y41" si="44">V38/12</f>
        <v>273</v>
      </c>
      <c r="Z38" s="15" t="s">
        <v>0</v>
      </c>
      <c r="AA38" s="16">
        <f t="shared" ref="AA38:AA41" si="45">T38*12+V38+W38+Y38</f>
        <v>41912</v>
      </c>
      <c r="AB38" s="15"/>
      <c r="AC38" s="16">
        <f t="shared" ref="AC38:AC41" si="46">(AA38-AB38)*23%</f>
        <v>9639.76</v>
      </c>
      <c r="AD38" s="16">
        <f t="shared" ref="AD38:AD41" si="47">(AA38-W38)*4%</f>
        <v>1548.3600000000001</v>
      </c>
      <c r="AE38" s="16">
        <f t="shared" ref="AE38:AE41" si="48">AA38+AC38+AD38</f>
        <v>53100.12</v>
      </c>
    </row>
    <row r="39" spans="1:31" s="3" customFormat="1" ht="15.75">
      <c r="A39" s="35" t="s">
        <v>98</v>
      </c>
      <c r="B39" s="15"/>
      <c r="C39" s="15"/>
      <c r="D39" s="15"/>
      <c r="E39" s="16"/>
      <c r="F39" s="16"/>
      <c r="G39" s="15" t="s">
        <v>0</v>
      </c>
      <c r="H39" s="15" t="s">
        <v>0</v>
      </c>
      <c r="I39" s="15" t="s">
        <v>0</v>
      </c>
      <c r="J39" s="15" t="s">
        <v>0</v>
      </c>
      <c r="K39" s="15" t="s">
        <v>0</v>
      </c>
      <c r="L39" s="15" t="s">
        <v>0</v>
      </c>
      <c r="M39" s="15" t="s">
        <v>0</v>
      </c>
      <c r="N39" s="15" t="s">
        <v>0</v>
      </c>
      <c r="O39" s="15" t="s">
        <v>0</v>
      </c>
      <c r="P39" s="15" t="s">
        <v>0</v>
      </c>
      <c r="Q39" s="15" t="s">
        <v>0</v>
      </c>
      <c r="R39" s="16"/>
      <c r="S39" s="16"/>
      <c r="T39" s="16">
        <f t="shared" si="41"/>
        <v>0</v>
      </c>
      <c r="U39" s="15" t="s">
        <v>0</v>
      </c>
      <c r="V39" s="16">
        <f t="shared" si="42"/>
        <v>0</v>
      </c>
      <c r="W39" s="16">
        <f t="shared" si="43"/>
        <v>0</v>
      </c>
      <c r="X39" s="15" t="s">
        <v>0</v>
      </c>
      <c r="Y39" s="16">
        <f t="shared" si="44"/>
        <v>0</v>
      </c>
      <c r="Z39" s="15" t="s">
        <v>0</v>
      </c>
      <c r="AA39" s="16">
        <f t="shared" si="45"/>
        <v>0</v>
      </c>
      <c r="AB39" s="15"/>
      <c r="AC39" s="16">
        <f t="shared" si="46"/>
        <v>0</v>
      </c>
      <c r="AD39" s="16">
        <f t="shared" si="47"/>
        <v>0</v>
      </c>
      <c r="AE39" s="16">
        <f t="shared" si="48"/>
        <v>0</v>
      </c>
    </row>
    <row r="40" spans="1:31" s="3" customFormat="1" ht="15.75">
      <c r="A40" s="32" t="s">
        <v>94</v>
      </c>
      <c r="B40" s="15">
        <v>1</v>
      </c>
      <c r="C40" s="15" t="s">
        <v>100</v>
      </c>
      <c r="D40" s="15">
        <v>7</v>
      </c>
      <c r="E40" s="16">
        <v>3740</v>
      </c>
      <c r="F40" s="16">
        <v>200</v>
      </c>
      <c r="G40" s="15" t="s">
        <v>0</v>
      </c>
      <c r="H40" s="15" t="s">
        <v>0</v>
      </c>
      <c r="I40" s="15" t="s">
        <v>0</v>
      </c>
      <c r="J40" s="15" t="s">
        <v>0</v>
      </c>
      <c r="K40" s="15" t="s">
        <v>0</v>
      </c>
      <c r="L40" s="15" t="s">
        <v>0</v>
      </c>
      <c r="M40" s="15" t="s">
        <v>0</v>
      </c>
      <c r="N40" s="15" t="s">
        <v>0</v>
      </c>
      <c r="O40" s="15" t="s">
        <v>0</v>
      </c>
      <c r="P40" s="15" t="s">
        <v>0</v>
      </c>
      <c r="Q40" s="15" t="s">
        <v>0</v>
      </c>
      <c r="R40" s="16"/>
      <c r="S40" s="16"/>
      <c r="T40" s="16">
        <f t="shared" ref="T40" si="49">E40+F40+R40+S40</f>
        <v>3940</v>
      </c>
      <c r="U40" s="15" t="s">
        <v>0</v>
      </c>
      <c r="V40" s="16">
        <f t="shared" ref="V40" si="50">E40*12*10%</f>
        <v>4488</v>
      </c>
      <c r="W40" s="16">
        <f t="shared" ref="W40" si="51">T40+V40/12</f>
        <v>4314</v>
      </c>
      <c r="X40" s="15" t="s">
        <v>0</v>
      </c>
      <c r="Y40" s="16">
        <f t="shared" ref="Y40" si="52">V40/12</f>
        <v>374</v>
      </c>
      <c r="Z40" s="15" t="s">
        <v>0</v>
      </c>
      <c r="AA40" s="16">
        <f t="shared" ref="AA40" si="53">T40*12+V40+W40+Y40</f>
        <v>56456</v>
      </c>
      <c r="AB40" s="15"/>
      <c r="AC40" s="16">
        <f t="shared" ref="AC40" si="54">(AA40-AB40)*23%</f>
        <v>12984.880000000001</v>
      </c>
      <c r="AD40" s="16">
        <f t="shared" ref="AD40" si="55">(AA40-W40)*4%</f>
        <v>2085.6799999999998</v>
      </c>
      <c r="AE40" s="16">
        <f t="shared" ref="AE40" si="56">AA40+AC40+AD40</f>
        <v>71526.559999999998</v>
      </c>
    </row>
    <row r="41" spans="1:31" s="3" customFormat="1" ht="15.75">
      <c r="A41" s="32" t="s">
        <v>95</v>
      </c>
      <c r="B41" s="15">
        <v>2</v>
      </c>
      <c r="C41" s="15" t="s">
        <v>101</v>
      </c>
      <c r="D41" s="15">
        <v>4</v>
      </c>
      <c r="E41" s="16">
        <f>2940*B41</f>
        <v>5880</v>
      </c>
      <c r="F41" s="16">
        <f>200*B41</f>
        <v>400</v>
      </c>
      <c r="G41" s="15" t="s">
        <v>0</v>
      </c>
      <c r="H41" s="15" t="s">
        <v>0</v>
      </c>
      <c r="I41" s="15" t="s">
        <v>0</v>
      </c>
      <c r="J41" s="15" t="s">
        <v>0</v>
      </c>
      <c r="K41" s="15" t="s">
        <v>0</v>
      </c>
      <c r="L41" s="15" t="s">
        <v>0</v>
      </c>
      <c r="M41" s="15" t="s">
        <v>0</v>
      </c>
      <c r="N41" s="15" t="s">
        <v>0</v>
      </c>
      <c r="O41" s="15" t="s">
        <v>0</v>
      </c>
      <c r="P41" s="15" t="s">
        <v>0</v>
      </c>
      <c r="Q41" s="15" t="s">
        <v>0</v>
      </c>
      <c r="R41" s="16"/>
      <c r="S41" s="16"/>
      <c r="T41" s="16">
        <f t="shared" si="41"/>
        <v>6280</v>
      </c>
      <c r="U41" s="15" t="s">
        <v>0</v>
      </c>
      <c r="V41" s="16">
        <f t="shared" si="42"/>
        <v>7056</v>
      </c>
      <c r="W41" s="16">
        <f t="shared" si="43"/>
        <v>6868</v>
      </c>
      <c r="X41" s="15" t="s">
        <v>0</v>
      </c>
      <c r="Y41" s="16">
        <f t="shared" si="44"/>
        <v>588</v>
      </c>
      <c r="Z41" s="15" t="s">
        <v>0</v>
      </c>
      <c r="AA41" s="16">
        <f t="shared" si="45"/>
        <v>89872</v>
      </c>
      <c r="AB41" s="15"/>
      <c r="AC41" s="16">
        <f t="shared" si="46"/>
        <v>20670.560000000001</v>
      </c>
      <c r="AD41" s="16">
        <f t="shared" si="47"/>
        <v>3320.16</v>
      </c>
      <c r="AE41" s="16">
        <f t="shared" si="48"/>
        <v>113862.72</v>
      </c>
    </row>
    <row r="42" spans="1:31" s="3" customFormat="1" ht="15.75">
      <c r="A42" s="32" t="s">
        <v>96</v>
      </c>
      <c r="B42" s="15">
        <v>1</v>
      </c>
      <c r="C42" s="15" t="s">
        <v>101</v>
      </c>
      <c r="D42" s="15">
        <v>3</v>
      </c>
      <c r="E42" s="16">
        <v>2730</v>
      </c>
      <c r="F42" s="16">
        <v>200</v>
      </c>
      <c r="G42" s="15" t="s">
        <v>0</v>
      </c>
      <c r="H42" s="15" t="s">
        <v>0</v>
      </c>
      <c r="I42" s="15" t="s">
        <v>0</v>
      </c>
      <c r="J42" s="15" t="s">
        <v>0</v>
      </c>
      <c r="K42" s="15" t="s">
        <v>0</v>
      </c>
      <c r="L42" s="15" t="s">
        <v>0</v>
      </c>
      <c r="M42" s="15" t="s">
        <v>0</v>
      </c>
      <c r="N42" s="15" t="s">
        <v>0</v>
      </c>
      <c r="O42" s="15" t="s">
        <v>0</v>
      </c>
      <c r="P42" s="15" t="s">
        <v>0</v>
      </c>
      <c r="Q42" s="15" t="s">
        <v>0</v>
      </c>
      <c r="R42" s="16"/>
      <c r="S42" s="16"/>
      <c r="T42" s="16">
        <f t="shared" ref="T42" si="57">E42+F42+R42+S42</f>
        <v>2930</v>
      </c>
      <c r="U42" s="15" t="s">
        <v>0</v>
      </c>
      <c r="V42" s="16">
        <f t="shared" ref="V42" si="58">E42*12*10%</f>
        <v>3276</v>
      </c>
      <c r="W42" s="16">
        <f t="shared" ref="W42" si="59">T42+V42/12</f>
        <v>3203</v>
      </c>
      <c r="X42" s="15" t="s">
        <v>0</v>
      </c>
      <c r="Y42" s="16">
        <f t="shared" ref="Y42" si="60">V42/12</f>
        <v>273</v>
      </c>
      <c r="Z42" s="15" t="s">
        <v>0</v>
      </c>
      <c r="AA42" s="16">
        <f t="shared" ref="AA42" si="61">T42*12+V42+W42+Y42</f>
        <v>41912</v>
      </c>
      <c r="AB42" s="15"/>
      <c r="AC42" s="16">
        <f t="shared" ref="AC42" si="62">(AA42-AB42)*23%</f>
        <v>9639.76</v>
      </c>
      <c r="AD42" s="16">
        <f t="shared" ref="AD42" si="63">(AA42-W42)*4%</f>
        <v>1548.3600000000001</v>
      </c>
      <c r="AE42" s="16">
        <f t="shared" ref="AE42" si="64">AA42+AC42+AD42</f>
        <v>53100.12</v>
      </c>
    </row>
    <row r="43" spans="1:31" s="23" customFormat="1" ht="45.75" customHeight="1">
      <c r="A43" s="19" t="s">
        <v>2</v>
      </c>
      <c r="B43" s="20">
        <f>SUM(B44:B54)</f>
        <v>9</v>
      </c>
      <c r="C43" s="20" t="s">
        <v>0</v>
      </c>
      <c r="D43" s="20" t="s">
        <v>0</v>
      </c>
      <c r="E43" s="21">
        <f>SUM(E44:E53)</f>
        <v>14500</v>
      </c>
      <c r="F43" s="20" t="s">
        <v>0</v>
      </c>
      <c r="G43" s="20" t="s">
        <v>0</v>
      </c>
      <c r="H43" s="20" t="s">
        <v>0</v>
      </c>
      <c r="I43" s="20" t="s">
        <v>0</v>
      </c>
      <c r="J43" s="20" t="s">
        <v>0</v>
      </c>
      <c r="K43" s="20" t="s">
        <v>0</v>
      </c>
      <c r="L43" s="20" t="s">
        <v>0</v>
      </c>
      <c r="M43" s="20"/>
      <c r="N43" s="21">
        <f t="shared" ref="N43:W43" si="65">SUM(N44:N53)</f>
        <v>0</v>
      </c>
      <c r="O43" s="21">
        <f t="shared" si="65"/>
        <v>2900</v>
      </c>
      <c r="P43" s="21">
        <f t="shared" si="65"/>
        <v>2900</v>
      </c>
      <c r="Q43" s="21">
        <f t="shared" si="65"/>
        <v>0</v>
      </c>
      <c r="R43" s="21">
        <f t="shared" si="65"/>
        <v>0</v>
      </c>
      <c r="S43" s="21">
        <f t="shared" si="65"/>
        <v>0</v>
      </c>
      <c r="T43" s="21">
        <f t="shared" si="65"/>
        <v>20300</v>
      </c>
      <c r="U43" s="21">
        <f t="shared" si="65"/>
        <v>14500</v>
      </c>
      <c r="V43" s="20" t="s">
        <v>0</v>
      </c>
      <c r="W43" s="21">
        <f t="shared" si="65"/>
        <v>21508.333333333332</v>
      </c>
      <c r="X43" s="20" t="s">
        <v>0</v>
      </c>
      <c r="Y43" s="20" t="s">
        <v>0</v>
      </c>
      <c r="Z43" s="21">
        <f t="shared" ref="Z43:AE43" si="66">SUM(Z44:Z53)</f>
        <v>1208.3333333333333</v>
      </c>
      <c r="AA43" s="21">
        <f>SUM(AA44:AA53)</f>
        <v>280816.66666666663</v>
      </c>
      <c r="AB43" s="21">
        <f t="shared" si="66"/>
        <v>0</v>
      </c>
      <c r="AC43" s="21">
        <f t="shared" si="66"/>
        <v>64587.833333333336</v>
      </c>
      <c r="AD43" s="21">
        <f t="shared" si="66"/>
        <v>10372.333333333332</v>
      </c>
      <c r="AE43" s="21">
        <f t="shared" si="66"/>
        <v>355776.83333333331</v>
      </c>
    </row>
    <row r="44" spans="1:31" s="3" customFormat="1" ht="15.75">
      <c r="A44" s="35" t="s">
        <v>88</v>
      </c>
      <c r="B44" s="15"/>
      <c r="C44" s="15" t="s">
        <v>0</v>
      </c>
      <c r="D44" s="15" t="s">
        <v>0</v>
      </c>
      <c r="E44" s="16"/>
      <c r="F44" s="15" t="s">
        <v>0</v>
      </c>
      <c r="G44" s="15" t="s">
        <v>0</v>
      </c>
      <c r="H44" s="15" t="s">
        <v>0</v>
      </c>
      <c r="I44" s="15" t="s">
        <v>0</v>
      </c>
      <c r="J44" s="15" t="s">
        <v>0</v>
      </c>
      <c r="K44" s="15" t="s">
        <v>0</v>
      </c>
      <c r="L44" s="15" t="s">
        <v>0</v>
      </c>
      <c r="M44" s="15"/>
      <c r="N44" s="16">
        <f t="shared" ref="N44:N52" si="67">E44*M44</f>
        <v>0</v>
      </c>
      <c r="O44" s="16">
        <f>E44*20%</f>
        <v>0</v>
      </c>
      <c r="P44" s="16">
        <f>E44*20%</f>
        <v>0</v>
      </c>
      <c r="Q44" s="16"/>
      <c r="R44" s="16"/>
      <c r="S44" s="16"/>
      <c r="T44" s="16">
        <f t="shared" ref="T44:T52" si="68">E44+N44+O44+Q44+P44+R44+S44</f>
        <v>0</v>
      </c>
      <c r="U44" s="16">
        <f>E44</f>
        <v>0</v>
      </c>
      <c r="V44" s="15" t="s">
        <v>0</v>
      </c>
      <c r="W44" s="16">
        <f>T44+U44/12</f>
        <v>0</v>
      </c>
      <c r="X44" s="15" t="s">
        <v>0</v>
      </c>
      <c r="Y44" s="15" t="s">
        <v>0</v>
      </c>
      <c r="Z44" s="16">
        <f>U44/12</f>
        <v>0</v>
      </c>
      <c r="AA44" s="16">
        <f>T44*12+U44+W44+Z44</f>
        <v>0</v>
      </c>
      <c r="AB44" s="15"/>
      <c r="AC44" s="16">
        <f>(AA44-AB44)*23%</f>
        <v>0</v>
      </c>
      <c r="AD44" s="16">
        <f>(AA44-W44)*4%</f>
        <v>0</v>
      </c>
      <c r="AE44" s="16">
        <f>AA44+AC44+AD44</f>
        <v>0</v>
      </c>
    </row>
    <row r="45" spans="1:31" s="3" customFormat="1" ht="15.75">
      <c r="A45" s="32" t="s">
        <v>83</v>
      </c>
      <c r="B45" s="15">
        <v>1</v>
      </c>
      <c r="C45" s="15" t="s">
        <v>0</v>
      </c>
      <c r="D45" s="15" t="s">
        <v>0</v>
      </c>
      <c r="E45" s="16">
        <v>2600</v>
      </c>
      <c r="F45" s="15" t="s">
        <v>0</v>
      </c>
      <c r="G45" s="15" t="s">
        <v>0</v>
      </c>
      <c r="H45" s="15" t="s">
        <v>0</v>
      </c>
      <c r="I45" s="15" t="s">
        <v>0</v>
      </c>
      <c r="J45" s="15" t="s">
        <v>0</v>
      </c>
      <c r="K45" s="15" t="s">
        <v>0</v>
      </c>
      <c r="L45" s="15" t="s">
        <v>0</v>
      </c>
      <c r="M45" s="15"/>
      <c r="N45" s="16">
        <f t="shared" si="67"/>
        <v>0</v>
      </c>
      <c r="O45" s="16">
        <f t="shared" ref="O45:O52" si="69">E45*20%</f>
        <v>520</v>
      </c>
      <c r="P45" s="16">
        <f t="shared" ref="P45:P52" si="70">E45*20%</f>
        <v>520</v>
      </c>
      <c r="Q45" s="16"/>
      <c r="R45" s="16"/>
      <c r="S45" s="16"/>
      <c r="T45" s="16">
        <f t="shared" si="68"/>
        <v>3640</v>
      </c>
      <c r="U45" s="16">
        <f t="shared" ref="U45:U52" si="71">E45</f>
        <v>2600</v>
      </c>
      <c r="V45" s="15" t="s">
        <v>0</v>
      </c>
      <c r="W45" s="16">
        <f t="shared" ref="W45:W52" si="72">T45+U45/12</f>
        <v>3856.6666666666665</v>
      </c>
      <c r="X45" s="15" t="s">
        <v>0</v>
      </c>
      <c r="Y45" s="15" t="s">
        <v>0</v>
      </c>
      <c r="Z45" s="16">
        <f t="shared" ref="Z45:Z52" si="73">U45/12</f>
        <v>216.66666666666666</v>
      </c>
      <c r="AA45" s="16">
        <f t="shared" ref="AA45:AA52" si="74">T45*12+U45+W45+Z45</f>
        <v>50353.333333333328</v>
      </c>
      <c r="AB45" s="15"/>
      <c r="AC45" s="16">
        <f t="shared" ref="AC45:AC52" si="75">(AA45-AB45)*23%</f>
        <v>11581.266666666666</v>
      </c>
      <c r="AD45" s="16">
        <f t="shared" ref="AD45:AD52" si="76">(AA45-W45)*4%</f>
        <v>1859.8666666666666</v>
      </c>
      <c r="AE45" s="16">
        <f t="shared" ref="AE45:AE52" si="77">AA45+AC45+AD45</f>
        <v>63794.46666666666</v>
      </c>
    </row>
    <row r="46" spans="1:31" s="3" customFormat="1" ht="15.75">
      <c r="A46" s="32" t="s">
        <v>186</v>
      </c>
      <c r="B46" s="15">
        <v>1</v>
      </c>
      <c r="C46" s="15" t="s">
        <v>0</v>
      </c>
      <c r="D46" s="15" t="s">
        <v>0</v>
      </c>
      <c r="E46" s="16">
        <v>2100</v>
      </c>
      <c r="F46" s="15" t="s">
        <v>0</v>
      </c>
      <c r="G46" s="15" t="s">
        <v>0</v>
      </c>
      <c r="H46" s="15" t="s">
        <v>0</v>
      </c>
      <c r="I46" s="15" t="s">
        <v>0</v>
      </c>
      <c r="J46" s="15" t="s">
        <v>0</v>
      </c>
      <c r="K46" s="15" t="s">
        <v>0</v>
      </c>
      <c r="L46" s="15" t="s">
        <v>0</v>
      </c>
      <c r="M46" s="15"/>
      <c r="N46" s="16">
        <f t="shared" si="67"/>
        <v>0</v>
      </c>
      <c r="O46" s="16">
        <f t="shared" si="69"/>
        <v>420</v>
      </c>
      <c r="P46" s="16">
        <f t="shared" si="70"/>
        <v>420</v>
      </c>
      <c r="Q46" s="16"/>
      <c r="R46" s="16"/>
      <c r="S46" s="16"/>
      <c r="T46" s="16">
        <f t="shared" si="68"/>
        <v>2940</v>
      </c>
      <c r="U46" s="16">
        <f t="shared" si="71"/>
        <v>2100</v>
      </c>
      <c r="V46" s="15" t="s">
        <v>0</v>
      </c>
      <c r="W46" s="16">
        <f t="shared" si="72"/>
        <v>3115</v>
      </c>
      <c r="X46" s="15" t="s">
        <v>0</v>
      </c>
      <c r="Y46" s="15" t="s">
        <v>0</v>
      </c>
      <c r="Z46" s="16">
        <f t="shared" si="73"/>
        <v>175</v>
      </c>
      <c r="AA46" s="16">
        <f t="shared" si="74"/>
        <v>40670</v>
      </c>
      <c r="AB46" s="15"/>
      <c r="AC46" s="16">
        <f t="shared" si="75"/>
        <v>9354.1</v>
      </c>
      <c r="AD46" s="16">
        <f t="shared" si="76"/>
        <v>1502.2</v>
      </c>
      <c r="AE46" s="16">
        <f t="shared" si="77"/>
        <v>51526.299999999996</v>
      </c>
    </row>
    <row r="47" spans="1:31" s="3" customFormat="1" ht="15.75">
      <c r="A47" s="35" t="s">
        <v>89</v>
      </c>
      <c r="B47" s="15"/>
      <c r="C47" s="15" t="s">
        <v>0</v>
      </c>
      <c r="D47" s="15" t="s">
        <v>0</v>
      </c>
      <c r="E47" s="16"/>
      <c r="F47" s="15" t="s">
        <v>0</v>
      </c>
      <c r="G47" s="15" t="s">
        <v>0</v>
      </c>
      <c r="H47" s="15" t="s">
        <v>0</v>
      </c>
      <c r="I47" s="15" t="s">
        <v>0</v>
      </c>
      <c r="J47" s="15" t="s">
        <v>0</v>
      </c>
      <c r="K47" s="15" t="s">
        <v>0</v>
      </c>
      <c r="L47" s="15" t="s">
        <v>0</v>
      </c>
      <c r="M47" s="15"/>
      <c r="N47" s="16">
        <f t="shared" si="67"/>
        <v>0</v>
      </c>
      <c r="O47" s="16">
        <f t="shared" si="69"/>
        <v>0</v>
      </c>
      <c r="P47" s="16">
        <f t="shared" si="70"/>
        <v>0</v>
      </c>
      <c r="Q47" s="16"/>
      <c r="R47" s="16"/>
      <c r="S47" s="16"/>
      <c r="T47" s="16">
        <f t="shared" si="68"/>
        <v>0</v>
      </c>
      <c r="U47" s="16">
        <f t="shared" si="71"/>
        <v>0</v>
      </c>
      <c r="V47" s="15" t="s">
        <v>0</v>
      </c>
      <c r="W47" s="16">
        <f t="shared" si="72"/>
        <v>0</v>
      </c>
      <c r="X47" s="15" t="s">
        <v>0</v>
      </c>
      <c r="Y47" s="15" t="s">
        <v>0</v>
      </c>
      <c r="Z47" s="16">
        <f t="shared" si="73"/>
        <v>0</v>
      </c>
      <c r="AA47" s="16">
        <f t="shared" si="74"/>
        <v>0</v>
      </c>
      <c r="AB47" s="15"/>
      <c r="AC47" s="16">
        <f t="shared" si="75"/>
        <v>0</v>
      </c>
      <c r="AD47" s="16">
        <f t="shared" si="76"/>
        <v>0</v>
      </c>
      <c r="AE47" s="16">
        <f t="shared" si="77"/>
        <v>0</v>
      </c>
    </row>
    <row r="48" spans="1:31" s="3" customFormat="1" ht="15.75">
      <c r="A48" s="32" t="s">
        <v>83</v>
      </c>
      <c r="B48" s="15">
        <v>1</v>
      </c>
      <c r="C48" s="15" t="s">
        <v>0</v>
      </c>
      <c r="D48" s="15" t="s">
        <v>0</v>
      </c>
      <c r="E48" s="16">
        <v>2600</v>
      </c>
      <c r="F48" s="15" t="s">
        <v>0</v>
      </c>
      <c r="G48" s="15" t="s">
        <v>0</v>
      </c>
      <c r="H48" s="15" t="s">
        <v>0</v>
      </c>
      <c r="I48" s="15" t="s">
        <v>0</v>
      </c>
      <c r="J48" s="15" t="s">
        <v>0</v>
      </c>
      <c r="K48" s="15" t="s">
        <v>0</v>
      </c>
      <c r="L48" s="15" t="s">
        <v>0</v>
      </c>
      <c r="M48" s="15"/>
      <c r="N48" s="16">
        <f t="shared" si="67"/>
        <v>0</v>
      </c>
      <c r="O48" s="16">
        <f t="shared" si="69"/>
        <v>520</v>
      </c>
      <c r="P48" s="16">
        <f t="shared" si="70"/>
        <v>520</v>
      </c>
      <c r="Q48" s="16"/>
      <c r="R48" s="16"/>
      <c r="S48" s="16"/>
      <c r="T48" s="16">
        <f t="shared" si="68"/>
        <v>3640</v>
      </c>
      <c r="U48" s="16">
        <f t="shared" si="71"/>
        <v>2600</v>
      </c>
      <c r="V48" s="15" t="s">
        <v>0</v>
      </c>
      <c r="W48" s="16">
        <f t="shared" si="72"/>
        <v>3856.6666666666665</v>
      </c>
      <c r="X48" s="15" t="s">
        <v>0</v>
      </c>
      <c r="Y48" s="15" t="s">
        <v>0</v>
      </c>
      <c r="Z48" s="16">
        <f t="shared" si="73"/>
        <v>216.66666666666666</v>
      </c>
      <c r="AA48" s="16">
        <f t="shared" si="74"/>
        <v>50353.333333333328</v>
      </c>
      <c r="AB48" s="15"/>
      <c r="AC48" s="16">
        <f t="shared" si="75"/>
        <v>11581.266666666666</v>
      </c>
      <c r="AD48" s="16">
        <f t="shared" si="76"/>
        <v>1859.8666666666666</v>
      </c>
      <c r="AE48" s="16">
        <f t="shared" si="77"/>
        <v>63794.46666666666</v>
      </c>
    </row>
    <row r="49" spans="1:31" s="3" customFormat="1" ht="15.75">
      <c r="A49" s="32" t="s">
        <v>187</v>
      </c>
      <c r="B49" s="15">
        <v>2</v>
      </c>
      <c r="C49" s="15" t="s">
        <v>0</v>
      </c>
      <c r="D49" s="15" t="s">
        <v>0</v>
      </c>
      <c r="E49" s="16">
        <v>2100</v>
      </c>
      <c r="F49" s="15" t="s">
        <v>0</v>
      </c>
      <c r="G49" s="15" t="s">
        <v>0</v>
      </c>
      <c r="H49" s="15" t="s">
        <v>0</v>
      </c>
      <c r="I49" s="15" t="s">
        <v>0</v>
      </c>
      <c r="J49" s="15" t="s">
        <v>0</v>
      </c>
      <c r="K49" s="15" t="s">
        <v>0</v>
      </c>
      <c r="L49" s="15" t="s">
        <v>0</v>
      </c>
      <c r="M49" s="15"/>
      <c r="N49" s="16">
        <f t="shared" si="67"/>
        <v>0</v>
      </c>
      <c r="O49" s="16">
        <f t="shared" si="69"/>
        <v>420</v>
      </c>
      <c r="P49" s="16">
        <f t="shared" si="70"/>
        <v>420</v>
      </c>
      <c r="Q49" s="16"/>
      <c r="R49" s="16"/>
      <c r="S49" s="16"/>
      <c r="T49" s="16">
        <f t="shared" si="68"/>
        <v>2940</v>
      </c>
      <c r="U49" s="16">
        <f t="shared" si="71"/>
        <v>2100</v>
      </c>
      <c r="V49" s="15" t="s">
        <v>0</v>
      </c>
      <c r="W49" s="16">
        <f t="shared" si="72"/>
        <v>3115</v>
      </c>
      <c r="X49" s="15" t="s">
        <v>0</v>
      </c>
      <c r="Y49" s="15" t="s">
        <v>0</v>
      </c>
      <c r="Z49" s="16">
        <f t="shared" si="73"/>
        <v>175</v>
      </c>
      <c r="AA49" s="16">
        <f t="shared" si="74"/>
        <v>40670</v>
      </c>
      <c r="AB49" s="15"/>
      <c r="AC49" s="16">
        <f t="shared" si="75"/>
        <v>9354.1</v>
      </c>
      <c r="AD49" s="16">
        <f t="shared" si="76"/>
        <v>1502.2</v>
      </c>
      <c r="AE49" s="16">
        <f t="shared" si="77"/>
        <v>51526.299999999996</v>
      </c>
    </row>
    <row r="50" spans="1:31" s="3" customFormat="1" ht="15.75">
      <c r="A50" s="35" t="s">
        <v>90</v>
      </c>
      <c r="B50" s="15"/>
      <c r="C50" s="15" t="s">
        <v>0</v>
      </c>
      <c r="D50" s="15" t="s">
        <v>0</v>
      </c>
      <c r="E50" s="16"/>
      <c r="F50" s="15" t="s">
        <v>0</v>
      </c>
      <c r="G50" s="15" t="s">
        <v>0</v>
      </c>
      <c r="H50" s="15" t="s">
        <v>0</v>
      </c>
      <c r="I50" s="15" t="s">
        <v>0</v>
      </c>
      <c r="J50" s="15" t="s">
        <v>0</v>
      </c>
      <c r="K50" s="15" t="s">
        <v>0</v>
      </c>
      <c r="L50" s="15" t="s">
        <v>0</v>
      </c>
      <c r="M50" s="15"/>
      <c r="N50" s="16">
        <f t="shared" si="67"/>
        <v>0</v>
      </c>
      <c r="O50" s="16">
        <f t="shared" si="69"/>
        <v>0</v>
      </c>
      <c r="P50" s="16">
        <f t="shared" si="70"/>
        <v>0</v>
      </c>
      <c r="Q50" s="16"/>
      <c r="R50" s="16"/>
      <c r="S50" s="16"/>
      <c r="T50" s="16">
        <f t="shared" si="68"/>
        <v>0</v>
      </c>
      <c r="U50" s="16">
        <f t="shared" si="71"/>
        <v>0</v>
      </c>
      <c r="V50" s="15" t="s">
        <v>0</v>
      </c>
      <c r="W50" s="16">
        <f t="shared" si="72"/>
        <v>0</v>
      </c>
      <c r="X50" s="15" t="s">
        <v>0</v>
      </c>
      <c r="Y50" s="15" t="s">
        <v>0</v>
      </c>
      <c r="Z50" s="16">
        <f t="shared" si="73"/>
        <v>0</v>
      </c>
      <c r="AA50" s="16">
        <f t="shared" si="74"/>
        <v>0</v>
      </c>
      <c r="AB50" s="15"/>
      <c r="AC50" s="16">
        <f t="shared" si="75"/>
        <v>0</v>
      </c>
      <c r="AD50" s="16">
        <f t="shared" si="76"/>
        <v>0</v>
      </c>
      <c r="AE50" s="16">
        <f t="shared" si="77"/>
        <v>0</v>
      </c>
    </row>
    <row r="51" spans="1:31" s="3" customFormat="1" ht="15.75">
      <c r="A51" s="32" t="s">
        <v>83</v>
      </c>
      <c r="B51" s="15">
        <v>1</v>
      </c>
      <c r="C51" s="15" t="s">
        <v>0</v>
      </c>
      <c r="D51" s="15" t="s">
        <v>0</v>
      </c>
      <c r="E51" s="16">
        <v>2800</v>
      </c>
      <c r="F51" s="15" t="s">
        <v>0</v>
      </c>
      <c r="G51" s="15" t="s">
        <v>0</v>
      </c>
      <c r="H51" s="15" t="s">
        <v>0</v>
      </c>
      <c r="I51" s="15" t="s">
        <v>0</v>
      </c>
      <c r="J51" s="15" t="s">
        <v>0</v>
      </c>
      <c r="K51" s="15" t="s">
        <v>0</v>
      </c>
      <c r="L51" s="15" t="s">
        <v>0</v>
      </c>
      <c r="M51" s="15"/>
      <c r="N51" s="16">
        <f t="shared" si="67"/>
        <v>0</v>
      </c>
      <c r="O51" s="16">
        <f t="shared" si="69"/>
        <v>560</v>
      </c>
      <c r="P51" s="16">
        <f t="shared" si="70"/>
        <v>560</v>
      </c>
      <c r="Q51" s="16"/>
      <c r="R51" s="16"/>
      <c r="S51" s="16"/>
      <c r="T51" s="16">
        <f t="shared" si="68"/>
        <v>3920</v>
      </c>
      <c r="U51" s="16">
        <f t="shared" si="71"/>
        <v>2800</v>
      </c>
      <c r="V51" s="15" t="s">
        <v>0</v>
      </c>
      <c r="W51" s="16">
        <f t="shared" si="72"/>
        <v>4153.333333333333</v>
      </c>
      <c r="X51" s="15" t="s">
        <v>0</v>
      </c>
      <c r="Y51" s="15" t="s">
        <v>0</v>
      </c>
      <c r="Z51" s="16">
        <f t="shared" si="73"/>
        <v>233.33333333333334</v>
      </c>
      <c r="AA51" s="16">
        <f t="shared" si="74"/>
        <v>54226.666666666672</v>
      </c>
      <c r="AB51" s="15"/>
      <c r="AC51" s="16">
        <f t="shared" si="75"/>
        <v>12472.133333333335</v>
      </c>
      <c r="AD51" s="16">
        <f t="shared" si="76"/>
        <v>2002.9333333333334</v>
      </c>
      <c r="AE51" s="16">
        <f t="shared" si="77"/>
        <v>68701.733333333337</v>
      </c>
    </row>
    <row r="52" spans="1:31" s="3" customFormat="1" ht="15.75">
      <c r="A52" s="32" t="s">
        <v>188</v>
      </c>
      <c r="B52" s="15">
        <v>2</v>
      </c>
      <c r="C52" s="15" t="s">
        <v>0</v>
      </c>
      <c r="D52" s="15" t="s">
        <v>0</v>
      </c>
      <c r="E52" s="16">
        <v>2300</v>
      </c>
      <c r="F52" s="15" t="s">
        <v>0</v>
      </c>
      <c r="G52" s="15" t="s">
        <v>0</v>
      </c>
      <c r="H52" s="15" t="s">
        <v>0</v>
      </c>
      <c r="I52" s="15" t="s">
        <v>0</v>
      </c>
      <c r="J52" s="15" t="s">
        <v>0</v>
      </c>
      <c r="K52" s="15" t="s">
        <v>0</v>
      </c>
      <c r="L52" s="15" t="s">
        <v>0</v>
      </c>
      <c r="M52" s="15"/>
      <c r="N52" s="16">
        <f t="shared" si="67"/>
        <v>0</v>
      </c>
      <c r="O52" s="16">
        <f t="shared" si="69"/>
        <v>460</v>
      </c>
      <c r="P52" s="16">
        <f t="shared" si="70"/>
        <v>460</v>
      </c>
      <c r="Q52" s="16"/>
      <c r="R52" s="16"/>
      <c r="S52" s="16"/>
      <c r="T52" s="16">
        <f t="shared" si="68"/>
        <v>3220</v>
      </c>
      <c r="U52" s="16">
        <f t="shared" si="71"/>
        <v>2300</v>
      </c>
      <c r="V52" s="15" t="s">
        <v>0</v>
      </c>
      <c r="W52" s="16">
        <f t="shared" si="72"/>
        <v>3411.6666666666665</v>
      </c>
      <c r="X52" s="15" t="s">
        <v>0</v>
      </c>
      <c r="Y52" s="15" t="s">
        <v>0</v>
      </c>
      <c r="Z52" s="16">
        <f t="shared" si="73"/>
        <v>191.66666666666666</v>
      </c>
      <c r="AA52" s="16">
        <f t="shared" si="74"/>
        <v>44543.333333333328</v>
      </c>
      <c r="AB52" s="15"/>
      <c r="AC52" s="16">
        <f t="shared" si="75"/>
        <v>10244.966666666665</v>
      </c>
      <c r="AD52" s="16">
        <f t="shared" si="76"/>
        <v>1645.2666666666667</v>
      </c>
      <c r="AE52" s="16">
        <f t="shared" si="77"/>
        <v>56433.566666666666</v>
      </c>
    </row>
    <row r="53" spans="1:31" s="3" customFormat="1">
      <c r="A53" s="17"/>
      <c r="B53" s="15"/>
      <c r="C53" s="15" t="s">
        <v>0</v>
      </c>
      <c r="D53" s="15" t="s">
        <v>0</v>
      </c>
      <c r="E53" s="16"/>
      <c r="F53" s="15" t="s">
        <v>0</v>
      </c>
      <c r="G53" s="15" t="s">
        <v>0</v>
      </c>
      <c r="H53" s="15" t="s">
        <v>0</v>
      </c>
      <c r="I53" s="15" t="s">
        <v>0</v>
      </c>
      <c r="J53" s="15" t="s">
        <v>0</v>
      </c>
      <c r="K53" s="15" t="s">
        <v>0</v>
      </c>
      <c r="L53" s="15" t="s">
        <v>0</v>
      </c>
      <c r="M53" s="15"/>
      <c r="N53" s="16">
        <f t="shared" ref="N53:N54" si="78">E53*M53</f>
        <v>0</v>
      </c>
      <c r="O53" s="16">
        <f t="shared" ref="O53:O54" si="79">E53*20%</f>
        <v>0</v>
      </c>
      <c r="P53" s="16">
        <f t="shared" ref="P53:P54" si="80">E53*20%</f>
        <v>0</v>
      </c>
      <c r="Q53" s="16"/>
      <c r="R53" s="16"/>
      <c r="S53" s="16"/>
      <c r="T53" s="16">
        <f t="shared" ref="T53:T54" si="81">E53+N53+O53+Q53+P53+R53+S53</f>
        <v>0</v>
      </c>
      <c r="U53" s="16">
        <f t="shared" ref="U53:U54" si="82">E53</f>
        <v>0</v>
      </c>
      <c r="V53" s="15" t="s">
        <v>0</v>
      </c>
      <c r="W53" s="16">
        <f t="shared" ref="W53:W54" si="83">T53+U53/12</f>
        <v>0</v>
      </c>
      <c r="X53" s="15" t="s">
        <v>0</v>
      </c>
      <c r="Y53" s="15" t="s">
        <v>0</v>
      </c>
      <c r="Z53" s="16">
        <f t="shared" ref="Z53:Z54" si="84">U53/12</f>
        <v>0</v>
      </c>
      <c r="AA53" s="16">
        <f t="shared" ref="AA53:AA54" si="85">T53*12+U53+W53+Z53</f>
        <v>0</v>
      </c>
      <c r="AB53" s="15"/>
      <c r="AC53" s="16">
        <f t="shared" ref="AC53:AC54" si="86">(AA53-AB53)*23%</f>
        <v>0</v>
      </c>
      <c r="AD53" s="16">
        <f t="shared" ref="AD53:AD54" si="87">(AA53-W53)*4%</f>
        <v>0</v>
      </c>
      <c r="AE53" s="16">
        <f t="shared" ref="AE53:AE54" si="88">AA53+AC53+AD53</f>
        <v>0</v>
      </c>
    </row>
    <row r="54" spans="1:31" s="3" customFormat="1" ht="15.75">
      <c r="A54" s="32" t="s">
        <v>99</v>
      </c>
      <c r="B54" s="15">
        <v>1</v>
      </c>
      <c r="C54" s="15" t="s">
        <v>0</v>
      </c>
      <c r="D54" s="15" t="s">
        <v>0</v>
      </c>
      <c r="E54" s="16">
        <v>920</v>
      </c>
      <c r="F54" s="15" t="s">
        <v>0</v>
      </c>
      <c r="G54" s="15" t="s">
        <v>0</v>
      </c>
      <c r="H54" s="15" t="s">
        <v>0</v>
      </c>
      <c r="I54" s="15" t="s">
        <v>0</v>
      </c>
      <c r="J54" s="15" t="s">
        <v>0</v>
      </c>
      <c r="K54" s="15" t="s">
        <v>0</v>
      </c>
      <c r="L54" s="15" t="s">
        <v>0</v>
      </c>
      <c r="M54" s="15"/>
      <c r="N54" s="16">
        <f t="shared" si="78"/>
        <v>0</v>
      </c>
      <c r="O54" s="16">
        <f t="shared" si="79"/>
        <v>184</v>
      </c>
      <c r="P54" s="16">
        <f t="shared" si="80"/>
        <v>184</v>
      </c>
      <c r="Q54" s="16"/>
      <c r="R54" s="16"/>
      <c r="S54" s="16"/>
      <c r="T54" s="16">
        <f t="shared" si="81"/>
        <v>1288</v>
      </c>
      <c r="U54" s="16">
        <f t="shared" si="82"/>
        <v>920</v>
      </c>
      <c r="V54" s="15" t="s">
        <v>0</v>
      </c>
      <c r="W54" s="16">
        <f t="shared" si="83"/>
        <v>1364.6666666666667</v>
      </c>
      <c r="X54" s="15" t="s">
        <v>0</v>
      </c>
      <c r="Y54" s="15" t="s">
        <v>0</v>
      </c>
      <c r="Z54" s="16">
        <f t="shared" si="84"/>
        <v>76.666666666666671</v>
      </c>
      <c r="AA54" s="16">
        <f t="shared" si="85"/>
        <v>17817.333333333336</v>
      </c>
      <c r="AB54" s="15"/>
      <c r="AC54" s="16">
        <f t="shared" si="86"/>
        <v>4097.9866666666676</v>
      </c>
      <c r="AD54" s="16">
        <f t="shared" si="87"/>
        <v>658.10666666666668</v>
      </c>
      <c r="AE54" s="16">
        <f t="shared" si="88"/>
        <v>22573.42666666667</v>
      </c>
    </row>
    <row r="55" spans="1:31" s="3" customFormat="1" ht="15.75">
      <c r="A55" s="32" t="s">
        <v>145</v>
      </c>
      <c r="B55" s="56"/>
      <c r="C55" s="56"/>
      <c r="D55" s="56"/>
      <c r="E55" s="57"/>
      <c r="F55" s="56"/>
      <c r="G55" s="56"/>
      <c r="H55" s="56"/>
      <c r="I55" s="56"/>
      <c r="J55" s="56"/>
      <c r="K55" s="56"/>
      <c r="L55" s="56"/>
      <c r="M55" s="56"/>
      <c r="N55" s="57"/>
      <c r="O55" s="57"/>
      <c r="P55" s="57"/>
      <c r="Q55" s="57"/>
      <c r="R55" s="57"/>
      <c r="S55" s="57"/>
      <c r="T55" s="57"/>
      <c r="U55" s="57"/>
      <c r="V55" s="56"/>
      <c r="W55" s="57"/>
      <c r="X55" s="56"/>
      <c r="Y55" s="56"/>
      <c r="Z55" s="57"/>
      <c r="AA55" s="57">
        <f>AA54+AA43+AA19+AA14</f>
        <v>1505384</v>
      </c>
      <c r="AB55" s="57">
        <f t="shared" ref="AB55:AE55" si="89">AB54+AB43+AB19+AB14</f>
        <v>0</v>
      </c>
      <c r="AC55" s="57">
        <f t="shared" si="89"/>
        <v>346238.32</v>
      </c>
      <c r="AD55" s="57">
        <f t="shared" si="89"/>
        <v>55608.24</v>
      </c>
      <c r="AE55" s="57">
        <f t="shared" si="89"/>
        <v>1907230.56</v>
      </c>
    </row>
    <row r="56" spans="1:31">
      <c r="A56" s="95" t="s">
        <v>72</v>
      </c>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row>
    <row r="57" spans="1:31">
      <c r="A57" s="95" t="s">
        <v>73</v>
      </c>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row>
    <row r="58" spans="1:31" ht="20.25" customHeight="1">
      <c r="A58" s="80" t="s">
        <v>31</v>
      </c>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row>
    <row r="59" spans="1:31" ht="17.25" customHeight="1">
      <c r="A59" s="80" t="s">
        <v>32</v>
      </c>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row>
    <row r="60" spans="1:31">
      <c r="A60" s="80" t="s">
        <v>34</v>
      </c>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row>
    <row r="61" spans="1:31">
      <c r="A61" s="80" t="s">
        <v>20</v>
      </c>
      <c r="B61" s="80"/>
      <c r="C61" s="80"/>
      <c r="D61" s="80"/>
      <c r="E61" s="80"/>
      <c r="F61" s="80"/>
      <c r="G61" s="80"/>
      <c r="H61" s="80"/>
      <c r="I61" s="80"/>
      <c r="J61" s="80"/>
      <c r="K61" s="80"/>
      <c r="L61" s="80"/>
      <c r="M61" s="80"/>
      <c r="N61" s="80"/>
      <c r="O61" s="80"/>
      <c r="P61" s="80"/>
      <c r="Q61" s="80"/>
      <c r="R61" s="80"/>
      <c r="S61" s="80"/>
      <c r="T61" s="80"/>
      <c r="U61" s="80"/>
      <c r="V61" s="80"/>
      <c r="W61" s="80"/>
    </row>
    <row r="62" spans="1:31">
      <c r="A62" s="80" t="s">
        <v>21</v>
      </c>
      <c r="B62" s="80"/>
      <c r="C62" s="80"/>
      <c r="D62" s="80"/>
      <c r="E62" s="80"/>
      <c r="F62" s="80"/>
      <c r="G62" s="80"/>
      <c r="H62" s="80"/>
      <c r="I62" s="80"/>
      <c r="J62" s="80"/>
      <c r="K62" s="80"/>
      <c r="L62" s="80"/>
      <c r="M62" s="80"/>
      <c r="N62" s="80"/>
      <c r="O62" s="80"/>
      <c r="P62" s="80"/>
      <c r="Q62" s="80"/>
      <c r="R62" s="80"/>
      <c r="S62" s="80"/>
      <c r="T62" s="80"/>
      <c r="U62" s="80"/>
      <c r="V62" s="80"/>
      <c r="W62" s="80"/>
      <c r="X62" s="27"/>
    </row>
    <row r="63" spans="1:31">
      <c r="A63" s="80" t="s">
        <v>29</v>
      </c>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row>
    <row r="64" spans="1:3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row>
    <row r="65" spans="1:35" ht="25.5" customHeight="1">
      <c r="A65" s="96" t="s">
        <v>65</v>
      </c>
      <c r="B65" s="96"/>
      <c r="C65" s="96"/>
      <c r="D65" s="96"/>
      <c r="E65" s="96"/>
      <c r="F65" s="96"/>
      <c r="G65" s="97" t="s">
        <v>67</v>
      </c>
      <c r="H65" s="94"/>
      <c r="I65" s="94"/>
      <c r="J65" s="94"/>
      <c r="K65" s="94"/>
      <c r="L65" s="94" t="s">
        <v>68</v>
      </c>
      <c r="M65" s="94"/>
      <c r="N65" s="94"/>
      <c r="O65" s="94"/>
      <c r="P65" s="29"/>
      <c r="Q65" s="29"/>
      <c r="R65" s="29"/>
      <c r="S65" s="29"/>
      <c r="T65" s="29"/>
      <c r="U65" s="29"/>
      <c r="V65" s="29"/>
      <c r="W65" s="29"/>
      <c r="X65" s="29"/>
      <c r="Y65" s="29"/>
      <c r="Z65" s="29"/>
      <c r="AA65" s="29"/>
      <c r="AB65" s="29"/>
      <c r="AC65" s="29"/>
      <c r="AD65" s="29"/>
      <c r="AE65" s="29"/>
    </row>
    <row r="66" spans="1:35">
      <c r="A66" s="31"/>
      <c r="B66" s="31"/>
      <c r="C66" s="31"/>
      <c r="D66" s="31"/>
      <c r="E66" s="31"/>
      <c r="F66" s="31"/>
      <c r="G66" s="93" t="s">
        <v>69</v>
      </c>
      <c r="H66" s="93"/>
      <c r="I66" s="93"/>
      <c r="J66" s="93"/>
      <c r="K66" s="93"/>
      <c r="L66" s="93" t="s">
        <v>70</v>
      </c>
      <c r="M66" s="93"/>
      <c r="N66" s="93"/>
      <c r="O66" s="93"/>
      <c r="P66" s="29"/>
      <c r="Q66" s="29"/>
      <c r="R66" s="29"/>
      <c r="S66" s="29"/>
      <c r="T66" s="29"/>
      <c r="U66" s="29"/>
      <c r="V66" s="29"/>
      <c r="W66" s="29"/>
      <c r="X66" s="29"/>
      <c r="Y66" s="29"/>
      <c r="Z66" s="29"/>
      <c r="AA66" s="29"/>
      <c r="AB66" s="29"/>
      <c r="AC66" s="29"/>
      <c r="AD66" s="29"/>
      <c r="AE66" s="29"/>
    </row>
    <row r="67" spans="1:35">
      <c r="A67" s="96" t="s">
        <v>66</v>
      </c>
      <c r="B67" s="96"/>
      <c r="C67" s="96"/>
      <c r="D67" s="96"/>
      <c r="E67" s="96"/>
      <c r="F67" s="96"/>
      <c r="G67" s="97" t="s">
        <v>67</v>
      </c>
      <c r="H67" s="94"/>
      <c r="I67" s="94"/>
      <c r="J67" s="94"/>
      <c r="K67" s="94"/>
      <c r="L67" s="94" t="s">
        <v>68</v>
      </c>
      <c r="M67" s="94"/>
      <c r="N67" s="94"/>
      <c r="O67" s="94"/>
      <c r="P67" s="94" t="s">
        <v>68</v>
      </c>
      <c r="Q67" s="94"/>
      <c r="R67" s="94"/>
      <c r="S67" s="94"/>
      <c r="T67" s="29"/>
      <c r="U67" s="29"/>
      <c r="V67" s="29"/>
      <c r="W67" s="29"/>
      <c r="X67" s="29"/>
      <c r="Y67" s="29"/>
      <c r="Z67" s="29"/>
      <c r="AA67" s="29"/>
      <c r="AB67" s="29"/>
      <c r="AC67" s="29"/>
      <c r="AD67" s="29"/>
      <c r="AE67" s="29"/>
    </row>
    <row r="68" spans="1:35">
      <c r="A68" s="29"/>
      <c r="B68" s="29"/>
      <c r="C68" s="29"/>
      <c r="D68" s="29"/>
      <c r="E68" s="29"/>
      <c r="F68" s="29"/>
      <c r="G68" s="93" t="s">
        <v>69</v>
      </c>
      <c r="H68" s="93"/>
      <c r="I68" s="93"/>
      <c r="J68" s="93"/>
      <c r="K68" s="93"/>
      <c r="L68" s="93" t="s">
        <v>70</v>
      </c>
      <c r="M68" s="93"/>
      <c r="N68" s="93"/>
      <c r="O68" s="93"/>
      <c r="P68" s="93" t="s">
        <v>71</v>
      </c>
      <c r="Q68" s="93"/>
      <c r="R68" s="93"/>
      <c r="S68" s="93"/>
      <c r="T68" s="29"/>
      <c r="U68" s="29"/>
      <c r="V68" s="29"/>
      <c r="W68" s="29"/>
      <c r="X68" s="29"/>
      <c r="Y68" s="29"/>
      <c r="Z68" s="29"/>
      <c r="AA68" s="29"/>
      <c r="AB68" s="29"/>
      <c r="AC68" s="29"/>
      <c r="AD68" s="29"/>
      <c r="AE68" s="29"/>
    </row>
    <row r="69" spans="1:35">
      <c r="A69" s="80" t="s">
        <v>63</v>
      </c>
      <c r="B69" s="80"/>
      <c r="C69" s="80"/>
      <c r="D69" s="80"/>
      <c r="E69" s="80"/>
      <c r="F69" s="80"/>
      <c r="G69" s="80"/>
      <c r="H69" s="80"/>
      <c r="I69" s="80"/>
      <c r="J69" s="80"/>
    </row>
    <row r="74" spans="1:35" s="12" customFormat="1">
      <c r="A74" s="11"/>
      <c r="AF74"/>
      <c r="AG74"/>
      <c r="AH74"/>
      <c r="AI74"/>
    </row>
    <row r="75" spans="1:35" s="12" customFormat="1">
      <c r="A75" s="11"/>
      <c r="AF75"/>
      <c r="AG75"/>
      <c r="AH75"/>
      <c r="AI75"/>
    </row>
  </sheetData>
  <mergeCells count="56">
    <mergeCell ref="G68:K68"/>
    <mergeCell ref="L68:O68"/>
    <mergeCell ref="P67:S67"/>
    <mergeCell ref="P68:S68"/>
    <mergeCell ref="A56:AE56"/>
    <mergeCell ref="A57:AE57"/>
    <mergeCell ref="A65:F65"/>
    <mergeCell ref="A67:F67"/>
    <mergeCell ref="G65:K65"/>
    <mergeCell ref="L65:O65"/>
    <mergeCell ref="G66:K66"/>
    <mergeCell ref="L66:O66"/>
    <mergeCell ref="G67:K67"/>
    <mergeCell ref="L67:O67"/>
    <mergeCell ref="A63:AE63"/>
    <mergeCell ref="A60:AE60"/>
    <mergeCell ref="AE11:AE12"/>
    <mergeCell ref="A58:AE58"/>
    <mergeCell ref="A59:AE59"/>
    <mergeCell ref="O11:O12"/>
    <mergeCell ref="P11:P12"/>
    <mergeCell ref="Q11:Q12"/>
    <mergeCell ref="R11:R12"/>
    <mergeCell ref="I11:J11"/>
    <mergeCell ref="AB11:AB12"/>
    <mergeCell ref="AC11:AC12"/>
    <mergeCell ref="AD11:AD12"/>
    <mergeCell ref="A61:W61"/>
    <mergeCell ref="A62:W62"/>
    <mergeCell ref="Y11:Y12"/>
    <mergeCell ref="Z11:Z12"/>
    <mergeCell ref="AA11:AA12"/>
    <mergeCell ref="S11:S12"/>
    <mergeCell ref="U11:U12"/>
    <mergeCell ref="V11:V12"/>
    <mergeCell ref="W11:W12"/>
    <mergeCell ref="X11:X12"/>
    <mergeCell ref="K11:L11"/>
    <mergeCell ref="M11:N11"/>
    <mergeCell ref="T11:T12"/>
    <mergeCell ref="A2:AE2"/>
    <mergeCell ref="A69:J69"/>
    <mergeCell ref="B8:W8"/>
    <mergeCell ref="A1:AE1"/>
    <mergeCell ref="B4:W4"/>
    <mergeCell ref="B5:W5"/>
    <mergeCell ref="B6:W6"/>
    <mergeCell ref="B7:W7"/>
    <mergeCell ref="B9:W9"/>
    <mergeCell ref="A11:A12"/>
    <mergeCell ref="B11:B12"/>
    <mergeCell ref="C11:C12"/>
    <mergeCell ref="D11:D12"/>
    <mergeCell ref="E11:E12"/>
    <mergeCell ref="F11:F12"/>
    <mergeCell ref="G11:H11"/>
  </mergeCells>
  <pageMargins left="0.17" right="0.17" top="0.36" bottom="0.31" header="0.18" footer="0.19"/>
  <pageSetup paperSize="8" scale="55" orientation="landscape" r:id="rId1"/>
  <headerFooter>
    <oddHeader>&amp;R&amp;"+,Regular"&amp;10Tabelul nr.1</oddHeader>
    <oddFooter>&amp;R&amp;"+,Regular"&amp;9&amp;P</oddFooter>
  </headerFooter>
</worksheet>
</file>

<file path=xl/worksheets/sheet3.xml><?xml version="1.0" encoding="utf-8"?>
<worksheet xmlns="http://schemas.openxmlformats.org/spreadsheetml/2006/main" xmlns:r="http://schemas.openxmlformats.org/officeDocument/2006/relationships">
  <dimension ref="A2:D17"/>
  <sheetViews>
    <sheetView workbookViewId="0">
      <selection activeCell="D16" sqref="D16"/>
    </sheetView>
  </sheetViews>
  <sheetFormatPr defaultRowHeight="15"/>
  <sheetData>
    <row r="2" spans="1:4">
      <c r="B2" t="s">
        <v>102</v>
      </c>
      <c r="C2" t="s">
        <v>103</v>
      </c>
      <c r="D2" t="s">
        <v>104</v>
      </c>
    </row>
    <row r="3" spans="1:4">
      <c r="A3" s="36" t="s">
        <v>105</v>
      </c>
      <c r="B3" s="36">
        <v>17</v>
      </c>
      <c r="C3" s="36">
        <v>3000</v>
      </c>
      <c r="D3" s="36">
        <f>B3*C3</f>
        <v>51000</v>
      </c>
    </row>
    <row r="4" spans="1:4">
      <c r="A4" s="36" t="s">
        <v>106</v>
      </c>
      <c r="B4" s="36">
        <v>5</v>
      </c>
      <c r="C4" s="36">
        <v>5000</v>
      </c>
      <c r="D4" s="36">
        <v>50000</v>
      </c>
    </row>
    <row r="5" spans="1:4">
      <c r="A5" s="36" t="s">
        <v>107</v>
      </c>
      <c r="B5" s="36">
        <v>5</v>
      </c>
      <c r="C5" s="36">
        <v>500</v>
      </c>
      <c r="D5" s="36">
        <v>5000</v>
      </c>
    </row>
    <row r="6" spans="1:4">
      <c r="A6" s="36" t="s">
        <v>108</v>
      </c>
      <c r="B6" s="36">
        <v>16</v>
      </c>
      <c r="C6" s="36">
        <v>5500</v>
      </c>
      <c r="D6" s="36">
        <f>B6*C6</f>
        <v>88000</v>
      </c>
    </row>
    <row r="7" spans="1:4">
      <c r="A7" s="36" t="s">
        <v>109</v>
      </c>
      <c r="B7" s="36">
        <v>17</v>
      </c>
      <c r="C7" s="36">
        <v>2000</v>
      </c>
      <c r="D7" s="36">
        <f>B7*C7</f>
        <v>34000</v>
      </c>
    </row>
    <row r="8" spans="1:4">
      <c r="A8" s="36" t="s">
        <v>110</v>
      </c>
      <c r="B8" s="36">
        <v>16</v>
      </c>
      <c r="C8" s="36">
        <v>2500</v>
      </c>
      <c r="D8" s="36">
        <f>B8*C8</f>
        <v>40000</v>
      </c>
    </row>
    <row r="9" spans="1:4">
      <c r="A9" s="36" t="s">
        <v>111</v>
      </c>
      <c r="B9" s="36">
        <v>5</v>
      </c>
      <c r="C9" s="36">
        <v>4000</v>
      </c>
      <c r="D9" s="36">
        <v>40000</v>
      </c>
    </row>
    <row r="10" spans="1:4">
      <c r="A10" s="36" t="s">
        <v>112</v>
      </c>
      <c r="B10" s="36">
        <v>5</v>
      </c>
      <c r="C10" s="36">
        <v>600</v>
      </c>
      <c r="D10" s="36">
        <v>6000</v>
      </c>
    </row>
    <row r="11" spans="1:4">
      <c r="A11" s="36"/>
      <c r="B11" s="36"/>
      <c r="C11" s="36"/>
      <c r="D11" s="36">
        <f>SUM(D3:D10)/1000</f>
        <v>314</v>
      </c>
    </row>
    <row r="12" spans="1:4">
      <c r="A12" s="36"/>
      <c r="B12" s="36">
        <v>11</v>
      </c>
      <c r="C12" s="36">
        <v>20</v>
      </c>
      <c r="D12" s="36">
        <v>30</v>
      </c>
    </row>
    <row r="13" spans="1:4">
      <c r="A13" s="36" t="s">
        <v>113</v>
      </c>
      <c r="B13" s="36">
        <v>8</v>
      </c>
      <c r="C13" s="37">
        <f>B13/B12*C12</f>
        <v>14.545454545454547</v>
      </c>
      <c r="D13" s="37">
        <f>C13-B13</f>
        <v>6.5454545454545467</v>
      </c>
    </row>
    <row r="14" spans="1:4">
      <c r="A14" s="36" t="s">
        <v>114</v>
      </c>
      <c r="B14" s="36">
        <v>10</v>
      </c>
      <c r="C14" s="37">
        <f>B14/B13*C13</f>
        <v>18.181818181818183</v>
      </c>
      <c r="D14" s="37">
        <f>C14-B14</f>
        <v>8.1818181818181834</v>
      </c>
    </row>
    <row r="15" spans="1:4">
      <c r="A15" s="36" t="s">
        <v>115</v>
      </c>
      <c r="B15" s="36">
        <v>10</v>
      </c>
      <c r="C15" s="37">
        <f>B15/B14*C14</f>
        <v>18.181818181818183</v>
      </c>
      <c r="D15" s="37">
        <f>C15-B15</f>
        <v>8.1818181818181834</v>
      </c>
    </row>
    <row r="16" spans="1:4">
      <c r="A16" s="36" t="s">
        <v>116</v>
      </c>
      <c r="B16" s="36">
        <v>35</v>
      </c>
      <c r="C16" s="37">
        <f>B16/B15*C15</f>
        <v>63.63636363636364</v>
      </c>
      <c r="D16" s="37">
        <f>C16-B16</f>
        <v>28.63636363636364</v>
      </c>
    </row>
    <row r="17" spans="1:4">
      <c r="A17" t="s">
        <v>117</v>
      </c>
      <c r="D17" s="38">
        <f>D11+D12+D13+D14+D15+D16</f>
        <v>395.54545454545456</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D5"/>
  <sheetViews>
    <sheetView workbookViewId="0">
      <selection activeCell="C2" sqref="C2"/>
    </sheetView>
  </sheetViews>
  <sheetFormatPr defaultRowHeight="15"/>
  <cols>
    <col min="1" max="1" width="50.140625" customWidth="1"/>
  </cols>
  <sheetData>
    <row r="1" spans="1:4">
      <c r="A1" s="36"/>
      <c r="B1" s="36">
        <v>11</v>
      </c>
      <c r="C1" s="36">
        <v>31</v>
      </c>
      <c r="D1" s="36">
        <v>20</v>
      </c>
    </row>
    <row r="2" spans="1:4">
      <c r="A2" s="36" t="s">
        <v>118</v>
      </c>
      <c r="B2" s="36">
        <v>9</v>
      </c>
      <c r="C2" s="36">
        <v>15</v>
      </c>
      <c r="D2" s="36">
        <v>6</v>
      </c>
    </row>
    <row r="3" spans="1:4">
      <c r="A3" s="36" t="s">
        <v>119</v>
      </c>
      <c r="B3" s="36">
        <v>3.5</v>
      </c>
      <c r="C3" s="36">
        <v>7.1</v>
      </c>
      <c r="D3" s="36">
        <f>C3-B3</f>
        <v>3.5999999999999996</v>
      </c>
    </row>
    <row r="4" spans="1:4">
      <c r="A4" s="36" t="s">
        <v>120</v>
      </c>
      <c r="B4" s="36">
        <v>33.6</v>
      </c>
      <c r="C4" s="36">
        <v>67.2</v>
      </c>
      <c r="D4" s="36">
        <f>C4-B4</f>
        <v>33.6</v>
      </c>
    </row>
    <row r="5" spans="1:4">
      <c r="A5" s="36" t="s">
        <v>117</v>
      </c>
      <c r="B5" s="36">
        <f>SUM(B2:B4)</f>
        <v>46.1</v>
      </c>
      <c r="C5" s="36">
        <f>SUM(C2:C4)</f>
        <v>89.300000000000011</v>
      </c>
      <c r="D5" s="36">
        <f>SUM(D2:D4)</f>
        <v>43.2</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2:B9"/>
  <sheetViews>
    <sheetView workbookViewId="0">
      <selection activeCell="B2" sqref="B2"/>
    </sheetView>
  </sheetViews>
  <sheetFormatPr defaultColWidth="43.28515625" defaultRowHeight="15"/>
  <cols>
    <col min="2" max="2" width="21.140625" customWidth="1"/>
  </cols>
  <sheetData>
    <row r="2" spans="1:2">
      <c r="A2" s="36" t="s">
        <v>180</v>
      </c>
      <c r="B2" s="36">
        <f>4800*18/1000</f>
        <v>86.4</v>
      </c>
    </row>
    <row r="3" spans="1:2">
      <c r="A3" s="36" t="s">
        <v>121</v>
      </c>
      <c r="B3" s="36">
        <v>0.2</v>
      </c>
    </row>
    <row r="4" spans="1:2">
      <c r="A4" s="36" t="s">
        <v>122</v>
      </c>
      <c r="B4" s="36">
        <v>0.7</v>
      </c>
    </row>
    <row r="5" spans="1:2">
      <c r="A5" s="36" t="s">
        <v>123</v>
      </c>
      <c r="B5" s="36">
        <v>1.5</v>
      </c>
    </row>
    <row r="6" spans="1:2">
      <c r="A6" s="36" t="s">
        <v>124</v>
      </c>
      <c r="B6" s="36">
        <v>4.2</v>
      </c>
    </row>
    <row r="7" spans="1:2">
      <c r="A7" s="36" t="s">
        <v>125</v>
      </c>
      <c r="B7" s="36">
        <v>6.5</v>
      </c>
    </row>
    <row r="8" spans="1:2">
      <c r="A8" s="36" t="s">
        <v>126</v>
      </c>
      <c r="B8" s="36">
        <v>20</v>
      </c>
    </row>
    <row r="9" spans="1:2">
      <c r="A9" s="36" t="s">
        <v>117</v>
      </c>
      <c r="B9" s="36">
        <f>SUM(B2:B8)</f>
        <v>119.50000000000001</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2:F3"/>
  <sheetViews>
    <sheetView workbookViewId="0">
      <selection activeCell="C4" sqref="C4"/>
    </sheetView>
  </sheetViews>
  <sheetFormatPr defaultRowHeight="15"/>
  <sheetData>
    <row r="2" spans="1:6">
      <c r="A2">
        <v>11</v>
      </c>
      <c r="C2">
        <v>31</v>
      </c>
      <c r="E2">
        <v>20</v>
      </c>
    </row>
    <row r="3" spans="1:6">
      <c r="A3" s="36">
        <v>7</v>
      </c>
      <c r="B3" s="36">
        <v>200</v>
      </c>
      <c r="C3" s="36">
        <f>8+5</f>
        <v>13</v>
      </c>
      <c r="D3" s="39">
        <v>300</v>
      </c>
      <c r="E3" s="39">
        <v>7</v>
      </c>
      <c r="F3" s="39">
        <f>D3-B3</f>
        <v>100</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E6"/>
  <sheetViews>
    <sheetView workbookViewId="0">
      <selection activeCell="A2" sqref="A2:E6"/>
    </sheetView>
  </sheetViews>
  <sheetFormatPr defaultColWidth="24.140625" defaultRowHeight="15"/>
  <cols>
    <col min="3" max="3" width="11.28515625" customWidth="1"/>
    <col min="4" max="4" width="9.7109375" customWidth="1"/>
    <col min="5" max="5" width="12.7109375" customWidth="1"/>
  </cols>
  <sheetData>
    <row r="1" spans="1:5">
      <c r="C1">
        <v>11</v>
      </c>
      <c r="D1">
        <v>31</v>
      </c>
      <c r="E1">
        <v>20</v>
      </c>
    </row>
    <row r="2" spans="1:5">
      <c r="A2" s="36" t="s">
        <v>127</v>
      </c>
      <c r="B2" s="36"/>
      <c r="C2" s="36">
        <v>2000</v>
      </c>
      <c r="D2" s="39">
        <f>(C2/C1)*D1</f>
        <v>5636.363636363636</v>
      </c>
      <c r="E2" s="39">
        <f>D2-C2</f>
        <v>3636.363636363636</v>
      </c>
    </row>
    <row r="3" spans="1:5">
      <c r="A3" s="36" t="s">
        <v>128</v>
      </c>
      <c r="B3" s="36"/>
      <c r="C3" s="36">
        <v>1000</v>
      </c>
      <c r="D3" s="39">
        <f>(C3/C1)*D1</f>
        <v>2818.181818181818</v>
      </c>
      <c r="E3" s="39">
        <f>D3-C3</f>
        <v>1818.181818181818</v>
      </c>
    </row>
    <row r="4" spans="1:5">
      <c r="A4" s="36" t="s">
        <v>129</v>
      </c>
      <c r="B4" s="36"/>
      <c r="C4" s="36">
        <v>1000</v>
      </c>
      <c r="D4" s="39">
        <v>2000</v>
      </c>
      <c r="E4" s="39">
        <f>D4-C4</f>
        <v>1000</v>
      </c>
    </row>
    <row r="5" spans="1:5">
      <c r="A5" s="36" t="s">
        <v>130</v>
      </c>
      <c r="B5" s="36"/>
      <c r="C5" s="36">
        <v>3600</v>
      </c>
      <c r="D5" s="39">
        <v>8500</v>
      </c>
      <c r="E5" s="39">
        <f>D5-C5</f>
        <v>4900</v>
      </c>
    </row>
    <row r="6" spans="1:5">
      <c r="A6" s="36" t="s">
        <v>117</v>
      </c>
      <c r="B6" s="36"/>
      <c r="C6" s="40">
        <f>SUM(C2:C5)</f>
        <v>7600</v>
      </c>
      <c r="D6" s="40">
        <f>SUM(D2:D5)</f>
        <v>18954.545454545456</v>
      </c>
      <c r="E6" s="40">
        <f>SUM(E2:E5)</f>
        <v>11354.545454545454</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G9"/>
  <sheetViews>
    <sheetView workbookViewId="0">
      <selection activeCell="F14" sqref="F14"/>
    </sheetView>
  </sheetViews>
  <sheetFormatPr defaultRowHeight="15"/>
  <cols>
    <col min="1" max="1" width="17.42578125" customWidth="1"/>
  </cols>
  <sheetData>
    <row r="1" spans="1:7" ht="15.75" thickBot="1">
      <c r="A1" s="41"/>
      <c r="B1" s="98" t="s">
        <v>131</v>
      </c>
      <c r="C1" s="98"/>
      <c r="D1" s="98" t="s">
        <v>140</v>
      </c>
      <c r="E1" s="98"/>
      <c r="F1" s="98" t="s">
        <v>141</v>
      </c>
      <c r="G1" s="99"/>
    </row>
    <row r="2" spans="1:7">
      <c r="A2" s="42" t="s">
        <v>132</v>
      </c>
      <c r="B2" s="36">
        <v>139.1</v>
      </c>
      <c r="C2" s="36">
        <v>15</v>
      </c>
      <c r="D2" s="40">
        <f>(B2/C2)*E2</f>
        <v>287.47333333333336</v>
      </c>
      <c r="E2" s="36">
        <v>31</v>
      </c>
      <c r="F2" s="40">
        <f>D2-B2</f>
        <v>148.37333333333336</v>
      </c>
      <c r="G2" s="43">
        <v>20</v>
      </c>
    </row>
    <row r="3" spans="1:7" ht="15.75" thickBot="1">
      <c r="A3" s="44" t="s">
        <v>133</v>
      </c>
      <c r="B3" s="45">
        <v>20.399999999999999</v>
      </c>
      <c r="C3" s="45"/>
      <c r="D3" s="45">
        <v>20.399999999999999</v>
      </c>
      <c r="E3" s="45"/>
      <c r="F3" s="45">
        <v>20.399999999999999</v>
      </c>
      <c r="G3" s="46"/>
    </row>
    <row r="4" spans="1:7" ht="15.75" thickBot="1">
      <c r="A4" s="41" t="s">
        <v>134</v>
      </c>
      <c r="B4" s="47">
        <f>B3+B2</f>
        <v>159.5</v>
      </c>
      <c r="C4" s="48"/>
      <c r="D4" s="55">
        <f>D2+D3</f>
        <v>307.87333333333333</v>
      </c>
      <c r="E4" s="48"/>
      <c r="F4" s="55">
        <f>F2+F3</f>
        <v>168.77333333333337</v>
      </c>
      <c r="G4" s="49"/>
    </row>
    <row r="5" spans="1:7">
      <c r="A5" s="50" t="s">
        <v>135</v>
      </c>
      <c r="B5" s="51">
        <v>32232</v>
      </c>
      <c r="C5" s="51"/>
      <c r="D5" s="51">
        <f>(B5/B4)*D4</f>
        <v>62215.506457680254</v>
      </c>
      <c r="E5" s="51"/>
      <c r="F5" s="51">
        <f>D5-B5</f>
        <v>29983.506457680254</v>
      </c>
      <c r="G5" s="52"/>
    </row>
    <row r="6" spans="1:7">
      <c r="A6" s="42" t="s">
        <v>136</v>
      </c>
      <c r="B6" s="36">
        <v>31606</v>
      </c>
      <c r="C6" s="36"/>
      <c r="D6" s="36">
        <f>(B6/B5)*D5</f>
        <v>61007.176008359464</v>
      </c>
      <c r="E6" s="36"/>
      <c r="F6" s="36">
        <f>D6-B6</f>
        <v>29401.176008359464</v>
      </c>
      <c r="G6" s="43"/>
    </row>
    <row r="7" spans="1:7">
      <c r="A7" s="42" t="s">
        <v>137</v>
      </c>
      <c r="B7" s="36">
        <v>5978</v>
      </c>
      <c r="C7" s="36"/>
      <c r="D7" s="36">
        <f>(B7/B6)*D6</f>
        <v>11538.976718913273</v>
      </c>
      <c r="E7" s="36"/>
      <c r="F7" s="36">
        <f>D7-B7</f>
        <v>5560.9767189132726</v>
      </c>
      <c r="G7" s="43"/>
    </row>
    <row r="8" spans="1:7" ht="15.75" thickBot="1">
      <c r="A8" s="44" t="s">
        <v>138</v>
      </c>
      <c r="B8" s="45">
        <v>2880</v>
      </c>
      <c r="C8" s="45"/>
      <c r="D8" s="53">
        <f>(B8/B7)*D7</f>
        <v>5559.0921630094053</v>
      </c>
      <c r="E8" s="45"/>
      <c r="F8" s="45">
        <f>D8-B8</f>
        <v>2679.0921630094053</v>
      </c>
      <c r="G8" s="46"/>
    </row>
    <row r="9" spans="1:7" s="54" customFormat="1" ht="13.5" thickBot="1">
      <c r="A9" s="41" t="s">
        <v>139</v>
      </c>
      <c r="B9" s="47">
        <f>SUM(B5:B8)</f>
        <v>72696</v>
      </c>
      <c r="C9" s="47"/>
      <c r="D9" s="47">
        <f>SUM(D5:D8)</f>
        <v>140320.75134796239</v>
      </c>
      <c r="E9" s="47"/>
      <c r="F9" s="47">
        <f>SUM(F5:F8)</f>
        <v>67624.751347962403</v>
      </c>
      <c r="G9" s="49"/>
    </row>
  </sheetData>
  <mergeCells count="3">
    <mergeCell ref="B1:C1"/>
    <mergeCell ref="D1:E1"/>
    <mergeCell ref="F1:G1"/>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2:C5"/>
  <sheetViews>
    <sheetView workbookViewId="0">
      <selection activeCell="C5" sqref="C5"/>
    </sheetView>
  </sheetViews>
  <sheetFormatPr defaultRowHeight="15"/>
  <cols>
    <col min="1" max="1" width="60.85546875" customWidth="1"/>
  </cols>
  <sheetData>
    <row r="2" spans="1:3">
      <c r="A2" t="s">
        <v>142</v>
      </c>
      <c r="B2">
        <f>80*52/1000</f>
        <v>4.16</v>
      </c>
      <c r="C2">
        <f>300*52/1000</f>
        <v>15.6</v>
      </c>
    </row>
    <row r="3" spans="1:3">
      <c r="A3" t="s">
        <v>143</v>
      </c>
      <c r="B3">
        <v>10</v>
      </c>
      <c r="C3">
        <v>10</v>
      </c>
    </row>
    <row r="4" spans="1:3">
      <c r="A4" t="s">
        <v>144</v>
      </c>
      <c r="B4">
        <v>10</v>
      </c>
      <c r="C4">
        <v>10</v>
      </c>
    </row>
    <row r="5" spans="1:3">
      <c r="C5">
        <f>C2+C3+C4</f>
        <v>35.6</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Лист8</vt:lpstr>
      <vt:lpstr>fdp+pcpfdp+fp+pdtafap</vt:lpstr>
      <vt:lpstr>113,03</vt:lpstr>
      <vt:lpstr>113,11</vt:lpstr>
      <vt:lpstr>113,13</vt:lpstr>
      <vt:lpstr>113,17</vt:lpstr>
      <vt:lpstr>113,18</vt:lpstr>
      <vt:lpstr>113,19</vt:lpstr>
      <vt:lpstr>113,45</vt:lpstr>
      <vt:lpstr>Sheet1</vt:lpstr>
      <vt:lpstr>'fdp+pcpfdp+fp+pdtafap'!Print_Area</vt:lpstr>
      <vt:lpstr>'fdp+pcpfdp+fp+pdtafap'!Print_Titles</vt:lpstr>
    </vt:vector>
  </TitlesOfParts>
  <Company>aaa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mgiza</dc:creator>
  <cp:lastModifiedBy>admin</cp:lastModifiedBy>
  <cp:lastPrinted>2014-09-01T06:08:52Z</cp:lastPrinted>
  <dcterms:created xsi:type="dcterms:W3CDTF">2013-08-29T10:57:39Z</dcterms:created>
  <dcterms:modified xsi:type="dcterms:W3CDTF">2014-09-05T05:32:02Z</dcterms:modified>
</cp:coreProperties>
</file>